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a Willmer\Dropbox\Work\CloudSpeed\CloudSpeed Financial Models\"/>
    </mc:Choice>
  </mc:AlternateContent>
  <xr:revisionPtr revIDLastSave="0" documentId="10_ncr:100000_{771686EA-DC4D-4D61-9608-D1D6600CB13E}" xr6:coauthVersionLast="31" xr6:coauthVersionMax="31" xr10:uidLastSave="{00000000-0000-0000-0000-000000000000}"/>
  <bookViews>
    <workbookView xWindow="0" yWindow="0" windowWidth="22500" windowHeight="10500" tabRatio="965" xr2:uid="{00000000-000D-0000-FFFF-FFFF00000000}"/>
  </bookViews>
  <sheets>
    <sheet name="Key Business Variables" sheetId="44" r:id="rId1"/>
    <sheet name="P&amp;L Impact Detail" sheetId="30" r:id="rId2"/>
    <sheet name="Cash Flow Impact" sheetId="39" r:id="rId3"/>
    <sheet name="Deal Anatomies" sheetId="57" r:id="rId4"/>
    <sheet name="Breakeven" sheetId="59" r:id="rId5"/>
    <sheet name="Users" sheetId="52" r:id="rId6"/>
    <sheet name="Sample Partner" sheetId="58" state="hidden" r:id="rId7"/>
    <sheet name="Fine Tuning" sheetId="55" state="hidden" r:id="rId8"/>
    <sheet name="Core Calculations" sheetId="31" state="hidden" r:id="rId9"/>
    <sheet name="Valuation Calculations" sheetId="56" state="hidden" r:id="rId10"/>
  </sheets>
  <definedNames>
    <definedName name="PaymentFrequency">'Key Business Variables'!#REF!</definedName>
    <definedName name="rationalize">#REF!</definedName>
  </definedNames>
  <calcPr calcId="179017" concurrentManualCount="1"/>
</workbook>
</file>

<file path=xl/calcChain.xml><?xml version="1.0" encoding="utf-8"?>
<calcChain xmlns="http://schemas.openxmlformats.org/spreadsheetml/2006/main">
  <c r="J5" i="44" l="1"/>
  <c r="I5" i="44"/>
  <c r="G5" i="44"/>
  <c r="J3" i="44"/>
  <c r="I3" i="44"/>
  <c r="G3" i="44"/>
  <c r="I20" i="44"/>
  <c r="J20" i="44" s="1"/>
  <c r="I19" i="44"/>
  <c r="J19" i="44" s="1"/>
  <c r="G20" i="44"/>
  <c r="G19" i="44"/>
  <c r="C14" i="44"/>
  <c r="J13" i="44" l="1"/>
  <c r="I13" i="44"/>
  <c r="G13" i="44"/>
  <c r="F13" i="44"/>
  <c r="K62" i="31" l="1"/>
  <c r="K61" i="31"/>
  <c r="C67" i="44"/>
  <c r="K86" i="31"/>
  <c r="K75" i="31"/>
  <c r="J86" i="31"/>
  <c r="K67" i="31" l="1"/>
  <c r="J29" i="44" l="1"/>
  <c r="J87" i="31" l="1"/>
  <c r="K87" i="31" s="1"/>
  <c r="J76" i="31"/>
  <c r="K76" i="31" s="1"/>
  <c r="N86" i="44" l="1"/>
  <c r="G12" i="44" s="1"/>
  <c r="O86" i="44"/>
  <c r="I12" i="44" s="1"/>
  <c r="P86" i="44"/>
  <c r="J12" i="44" s="1"/>
  <c r="M86" i="44"/>
  <c r="N87" i="44" l="1"/>
  <c r="O87" i="44" s="1"/>
  <c r="P87" i="44" s="1"/>
  <c r="F12" i="44"/>
  <c r="C8" i="44"/>
  <c r="AA49" i="57" l="1"/>
  <c r="AB49" i="57"/>
  <c r="AC49" i="57"/>
  <c r="AD49" i="57"/>
  <c r="AE49" i="57"/>
  <c r="AF49" i="57"/>
  <c r="AG49" i="57"/>
  <c r="AH49" i="57"/>
  <c r="AI49" i="57"/>
  <c r="AJ49" i="57"/>
  <c r="AK49" i="57"/>
  <c r="AL49" i="57"/>
  <c r="AM49" i="57"/>
  <c r="AN49" i="57"/>
  <c r="AO49" i="57"/>
  <c r="AP49" i="57"/>
  <c r="AQ49" i="57"/>
  <c r="AR49" i="57"/>
  <c r="AS49" i="57"/>
  <c r="AT49" i="57"/>
  <c r="AU49" i="57"/>
  <c r="AV49" i="57"/>
  <c r="AW49" i="57"/>
  <c r="AX49" i="57"/>
  <c r="C49" i="57"/>
  <c r="D59" i="57"/>
  <c r="E59" i="57"/>
  <c r="F59" i="57"/>
  <c r="G59" i="57"/>
  <c r="H59" i="57"/>
  <c r="I59" i="57"/>
  <c r="J59" i="57"/>
  <c r="K59" i="57"/>
  <c r="L59" i="57"/>
  <c r="M59" i="57"/>
  <c r="N59" i="57"/>
  <c r="O59" i="57"/>
  <c r="P59" i="57"/>
  <c r="Q59" i="57"/>
  <c r="R59" i="57"/>
  <c r="S59" i="57"/>
  <c r="T59" i="57"/>
  <c r="U59" i="57"/>
  <c r="V59" i="57"/>
  <c r="W59" i="57"/>
  <c r="X59" i="57"/>
  <c r="Y59" i="57"/>
  <c r="Z59" i="57"/>
  <c r="AA59" i="57"/>
  <c r="AB59" i="57"/>
  <c r="AC59" i="57"/>
  <c r="AD59" i="57"/>
  <c r="AE59" i="57"/>
  <c r="AF59" i="57"/>
  <c r="AG59" i="57"/>
  <c r="AH59" i="57"/>
  <c r="AI59" i="57"/>
  <c r="AJ59" i="57"/>
  <c r="AK59" i="57"/>
  <c r="AL59" i="57"/>
  <c r="AM59" i="57"/>
  <c r="AN59" i="57"/>
  <c r="AO59" i="57"/>
  <c r="AP59" i="57"/>
  <c r="AQ59" i="57"/>
  <c r="AR59" i="57"/>
  <c r="AS59" i="57"/>
  <c r="AT59" i="57"/>
  <c r="AU59" i="57"/>
  <c r="AV59" i="57"/>
  <c r="AW59" i="57"/>
  <c r="AX59" i="57"/>
  <c r="D60" i="57"/>
  <c r="E60" i="57"/>
  <c r="F60" i="57"/>
  <c r="G60" i="57"/>
  <c r="H60" i="57"/>
  <c r="I60" i="57"/>
  <c r="J60" i="57"/>
  <c r="K60" i="57"/>
  <c r="L60" i="57"/>
  <c r="M60" i="57"/>
  <c r="N60" i="57"/>
  <c r="O60" i="57"/>
  <c r="P60" i="57"/>
  <c r="Q60" i="57"/>
  <c r="R60" i="57"/>
  <c r="S60" i="57"/>
  <c r="T60" i="57"/>
  <c r="U60" i="57"/>
  <c r="V60" i="57"/>
  <c r="W60" i="57"/>
  <c r="X60" i="57"/>
  <c r="Y60" i="57"/>
  <c r="Z60" i="57"/>
  <c r="AA60" i="57"/>
  <c r="AB60" i="57"/>
  <c r="AC60" i="57"/>
  <c r="AD60" i="57"/>
  <c r="AE60" i="57"/>
  <c r="AF60" i="57"/>
  <c r="AG60" i="57"/>
  <c r="AH60" i="57"/>
  <c r="AI60" i="57"/>
  <c r="AJ60" i="57"/>
  <c r="AK60" i="57"/>
  <c r="AL60" i="57"/>
  <c r="AM60" i="57"/>
  <c r="AN60" i="57"/>
  <c r="AO60" i="57"/>
  <c r="AP60" i="57"/>
  <c r="AQ60" i="57"/>
  <c r="AR60" i="57"/>
  <c r="AS60" i="57"/>
  <c r="AT60" i="57"/>
  <c r="AU60" i="57"/>
  <c r="AV60" i="57"/>
  <c r="AW60" i="57"/>
  <c r="AX60" i="57"/>
  <c r="C60" i="57"/>
  <c r="C59" i="57"/>
  <c r="D58" i="57" l="1"/>
  <c r="E58" i="57"/>
  <c r="F58" i="57"/>
  <c r="G58" i="57"/>
  <c r="H58" i="57"/>
  <c r="I58" i="57"/>
  <c r="J58" i="57"/>
  <c r="K58" i="57"/>
  <c r="L58" i="57"/>
  <c r="M58" i="57"/>
  <c r="N58" i="57"/>
  <c r="O58" i="57"/>
  <c r="P58" i="57"/>
  <c r="Q58" i="57"/>
  <c r="R58" i="57"/>
  <c r="S58" i="57"/>
  <c r="T58" i="57"/>
  <c r="U58" i="57"/>
  <c r="V58" i="57"/>
  <c r="W58" i="57"/>
  <c r="X58" i="57"/>
  <c r="Y58" i="57"/>
  <c r="Z58" i="57"/>
  <c r="AA58" i="57"/>
  <c r="AB58" i="57"/>
  <c r="AC58" i="57"/>
  <c r="AD58" i="57"/>
  <c r="AE58" i="57"/>
  <c r="AF58" i="57"/>
  <c r="AG58" i="57"/>
  <c r="AH58" i="57"/>
  <c r="AI58" i="57"/>
  <c r="AJ58" i="57"/>
  <c r="AK58" i="57"/>
  <c r="AL58" i="57"/>
  <c r="AM58" i="57"/>
  <c r="AN58" i="57"/>
  <c r="AO58" i="57"/>
  <c r="AP58" i="57"/>
  <c r="AQ58" i="57"/>
  <c r="AR58" i="57"/>
  <c r="AS58" i="57"/>
  <c r="AT58" i="57"/>
  <c r="AU58" i="57"/>
  <c r="AV58" i="57"/>
  <c r="AW58" i="57"/>
  <c r="AX58" i="57"/>
  <c r="C58" i="57"/>
  <c r="D57" i="57"/>
  <c r="E57" i="57"/>
  <c r="F57" i="57"/>
  <c r="G57" i="57"/>
  <c r="H57" i="57"/>
  <c r="I57" i="57"/>
  <c r="J57" i="57"/>
  <c r="K57" i="57"/>
  <c r="L57" i="57"/>
  <c r="M57" i="57"/>
  <c r="N57" i="57"/>
  <c r="O57" i="57"/>
  <c r="P57" i="57"/>
  <c r="Q57" i="57"/>
  <c r="R57" i="57"/>
  <c r="S57" i="57"/>
  <c r="T57" i="57"/>
  <c r="U57" i="57"/>
  <c r="V57" i="57"/>
  <c r="W57" i="57"/>
  <c r="X57" i="57"/>
  <c r="Y57" i="57"/>
  <c r="Z57" i="57"/>
  <c r="AA57" i="57"/>
  <c r="AB57" i="57"/>
  <c r="AC57" i="57"/>
  <c r="AD57" i="57"/>
  <c r="AE57" i="57"/>
  <c r="AF57" i="57"/>
  <c r="AG57" i="57"/>
  <c r="AH57" i="57"/>
  <c r="AI57" i="57"/>
  <c r="AJ57" i="57"/>
  <c r="AK57" i="57"/>
  <c r="AL57" i="57"/>
  <c r="AM57" i="57"/>
  <c r="AN57" i="57"/>
  <c r="AO57" i="57"/>
  <c r="AP57" i="57"/>
  <c r="AQ57" i="57"/>
  <c r="AR57" i="57"/>
  <c r="AS57" i="57"/>
  <c r="AT57" i="57"/>
  <c r="AU57" i="57"/>
  <c r="AV57" i="57"/>
  <c r="AW57" i="57"/>
  <c r="AX57" i="57"/>
  <c r="C57" i="57"/>
  <c r="C63" i="57" s="1"/>
  <c r="P56" i="57"/>
  <c r="Q56" i="57"/>
  <c r="R56" i="57"/>
  <c r="S56" i="57"/>
  <c r="T56" i="57"/>
  <c r="U56" i="57"/>
  <c r="V56" i="57"/>
  <c r="W56" i="57"/>
  <c r="X56" i="57"/>
  <c r="Y56" i="57"/>
  <c r="Z56" i="57"/>
  <c r="AA56" i="57"/>
  <c r="AB56" i="57"/>
  <c r="AC56" i="57"/>
  <c r="AD56" i="57"/>
  <c r="AE56" i="57"/>
  <c r="AF56" i="57"/>
  <c r="AG56" i="57"/>
  <c r="AH56" i="57"/>
  <c r="AI56" i="57"/>
  <c r="AJ56" i="57"/>
  <c r="AK56" i="57"/>
  <c r="AL56" i="57"/>
  <c r="AM56" i="57"/>
  <c r="AN56" i="57"/>
  <c r="AO56" i="57"/>
  <c r="AP56" i="57"/>
  <c r="AQ56" i="57"/>
  <c r="AR56" i="57"/>
  <c r="AS56" i="57"/>
  <c r="AT56" i="57"/>
  <c r="AU56" i="57"/>
  <c r="AV56" i="57"/>
  <c r="AW56" i="57"/>
  <c r="AX56" i="57"/>
  <c r="O56" i="57"/>
  <c r="O46" i="57"/>
  <c r="C56" i="57"/>
  <c r="C62" i="57" s="1"/>
  <c r="D62" i="57" s="1"/>
  <c r="E62" i="57" s="1"/>
  <c r="F62" i="57" s="1"/>
  <c r="G62" i="57" s="1"/>
  <c r="H62" i="57" s="1"/>
  <c r="I62" i="57" s="1"/>
  <c r="J62" i="57" s="1"/>
  <c r="K62" i="57" s="1"/>
  <c r="L62" i="57" s="1"/>
  <c r="M62" i="57" s="1"/>
  <c r="N62" i="57" s="1"/>
  <c r="P46" i="57"/>
  <c r="Q46" i="57"/>
  <c r="R46" i="57"/>
  <c r="S46" i="57"/>
  <c r="T46" i="57"/>
  <c r="U46" i="57"/>
  <c r="V46" i="57"/>
  <c r="W46" i="57"/>
  <c r="X46" i="57"/>
  <c r="Y46" i="57"/>
  <c r="Z46" i="57"/>
  <c r="AA46" i="57"/>
  <c r="AB46" i="57"/>
  <c r="AC46" i="57"/>
  <c r="AD46" i="57"/>
  <c r="AE46" i="57"/>
  <c r="AF46" i="57"/>
  <c r="AG46" i="57"/>
  <c r="AH46" i="57"/>
  <c r="AI46" i="57"/>
  <c r="AJ46" i="57"/>
  <c r="AK46" i="57"/>
  <c r="AL46" i="57"/>
  <c r="AM46" i="57"/>
  <c r="AN46" i="57"/>
  <c r="AO46" i="57"/>
  <c r="AP46" i="57"/>
  <c r="AQ46" i="57"/>
  <c r="AR46" i="57"/>
  <c r="AS46" i="57"/>
  <c r="AT46" i="57"/>
  <c r="AU46" i="57"/>
  <c r="AV46" i="57"/>
  <c r="AW46" i="57"/>
  <c r="AX46" i="57"/>
  <c r="D49" i="57"/>
  <c r="E49" i="57"/>
  <c r="F49" i="57"/>
  <c r="G49" i="57"/>
  <c r="H49" i="57"/>
  <c r="I49" i="57"/>
  <c r="J49" i="57"/>
  <c r="K49" i="57"/>
  <c r="L49" i="57"/>
  <c r="M49" i="57"/>
  <c r="N49" i="57"/>
  <c r="O49" i="57"/>
  <c r="P49" i="57"/>
  <c r="Q49" i="57"/>
  <c r="R49" i="57"/>
  <c r="S49" i="57"/>
  <c r="T49" i="57"/>
  <c r="U49" i="57"/>
  <c r="V49" i="57"/>
  <c r="W49" i="57"/>
  <c r="X49" i="57"/>
  <c r="Y49" i="57"/>
  <c r="Z49" i="57"/>
  <c r="C47" i="57"/>
  <c r="D48" i="57"/>
  <c r="E48" i="57"/>
  <c r="F48" i="57"/>
  <c r="G48" i="57"/>
  <c r="H48" i="57"/>
  <c r="I48" i="57"/>
  <c r="J48" i="57"/>
  <c r="K48" i="57"/>
  <c r="L48" i="57"/>
  <c r="M48" i="57"/>
  <c r="N48" i="57"/>
  <c r="O48" i="57"/>
  <c r="P48" i="57"/>
  <c r="Q48" i="57"/>
  <c r="R48" i="57"/>
  <c r="S48" i="57"/>
  <c r="T48" i="57"/>
  <c r="U48" i="57"/>
  <c r="V48" i="57"/>
  <c r="W48" i="57"/>
  <c r="X48" i="57"/>
  <c r="Y48" i="57"/>
  <c r="Z48" i="57"/>
  <c r="AA48" i="57"/>
  <c r="AB48" i="57"/>
  <c r="AC48" i="57"/>
  <c r="AD48" i="57"/>
  <c r="AE48" i="57"/>
  <c r="AF48" i="57"/>
  <c r="AG48" i="57"/>
  <c r="AH48" i="57"/>
  <c r="AI48" i="57"/>
  <c r="AJ48" i="57"/>
  <c r="AK48" i="57"/>
  <c r="AL48" i="57"/>
  <c r="AM48" i="57"/>
  <c r="AN48" i="57"/>
  <c r="AO48" i="57"/>
  <c r="AP48" i="57"/>
  <c r="AQ48" i="57"/>
  <c r="AR48" i="57"/>
  <c r="AS48" i="57"/>
  <c r="AT48" i="57"/>
  <c r="AU48" i="57"/>
  <c r="AV48" i="57"/>
  <c r="AW48" i="57"/>
  <c r="AX48" i="57"/>
  <c r="C48" i="57"/>
  <c r="D47" i="57"/>
  <c r="E47" i="57"/>
  <c r="F47" i="57"/>
  <c r="G47" i="57"/>
  <c r="H47" i="57"/>
  <c r="I47" i="57"/>
  <c r="J47" i="57"/>
  <c r="K47" i="57"/>
  <c r="L47" i="57"/>
  <c r="M47" i="57"/>
  <c r="N47" i="57"/>
  <c r="O47" i="57"/>
  <c r="P47" i="57"/>
  <c r="Q47" i="57"/>
  <c r="R47" i="57"/>
  <c r="S47" i="57"/>
  <c r="T47" i="57"/>
  <c r="U47" i="57"/>
  <c r="V47" i="57"/>
  <c r="W47" i="57"/>
  <c r="X47" i="57"/>
  <c r="Y47" i="57"/>
  <c r="Z47" i="57"/>
  <c r="AA47" i="57"/>
  <c r="AB47" i="57"/>
  <c r="AC47" i="57"/>
  <c r="AD47" i="57"/>
  <c r="AE47" i="57"/>
  <c r="AF47" i="57"/>
  <c r="AG47" i="57"/>
  <c r="AH47" i="57"/>
  <c r="AI47" i="57"/>
  <c r="AJ47" i="57"/>
  <c r="AK47" i="57"/>
  <c r="AL47" i="57"/>
  <c r="AM47" i="57"/>
  <c r="AN47" i="57"/>
  <c r="AO47" i="57"/>
  <c r="AP47" i="57"/>
  <c r="AQ47" i="57"/>
  <c r="AR47" i="57"/>
  <c r="AS47" i="57"/>
  <c r="AT47" i="57"/>
  <c r="AU47" i="57"/>
  <c r="AV47" i="57"/>
  <c r="AW47" i="57"/>
  <c r="AX47" i="57"/>
  <c r="C46" i="57"/>
  <c r="D63" i="57" l="1"/>
  <c r="E63" i="57" s="1"/>
  <c r="F63" i="57" s="1"/>
  <c r="G63" i="57" s="1"/>
  <c r="H63" i="57" s="1"/>
  <c r="I63" i="57" s="1"/>
  <c r="J63" i="57" s="1"/>
  <c r="K63" i="57" s="1"/>
  <c r="L63" i="57" s="1"/>
  <c r="M63" i="57" s="1"/>
  <c r="N63" i="57" s="1"/>
  <c r="O63" i="57" s="1"/>
  <c r="P63" i="57" s="1"/>
  <c r="Q63" i="57" s="1"/>
  <c r="R63" i="57" s="1"/>
  <c r="S63" i="57" s="1"/>
  <c r="T63" i="57" s="1"/>
  <c r="U63" i="57" s="1"/>
  <c r="V63" i="57" s="1"/>
  <c r="W63" i="57" s="1"/>
  <c r="X63" i="57" s="1"/>
  <c r="Y63" i="57" s="1"/>
  <c r="Z63" i="57" s="1"/>
  <c r="AA63" i="57" s="1"/>
  <c r="AB63" i="57" s="1"/>
  <c r="AC63" i="57" s="1"/>
  <c r="AD63" i="57" s="1"/>
  <c r="AE63" i="57" s="1"/>
  <c r="AF63" i="57" s="1"/>
  <c r="AG63" i="57" s="1"/>
  <c r="AH63" i="57" s="1"/>
  <c r="AI63" i="57" s="1"/>
  <c r="AJ63" i="57" s="1"/>
  <c r="AK63" i="57" s="1"/>
  <c r="AL63" i="57" s="1"/>
  <c r="AM63" i="57" s="1"/>
  <c r="AN63" i="57" s="1"/>
  <c r="AO63" i="57" s="1"/>
  <c r="AP63" i="57" s="1"/>
  <c r="AQ63" i="57" s="1"/>
  <c r="AR63" i="57" s="1"/>
  <c r="AS63" i="57" s="1"/>
  <c r="AT63" i="57" s="1"/>
  <c r="AU63" i="57" s="1"/>
  <c r="AV63" i="57" s="1"/>
  <c r="AW63" i="57" s="1"/>
  <c r="AX63" i="57" s="1"/>
  <c r="O62" i="57"/>
  <c r="P62" i="57" s="1"/>
  <c r="Q62" i="57" s="1"/>
  <c r="R62" i="57" s="1"/>
  <c r="S62" i="57" s="1"/>
  <c r="T62" i="57" s="1"/>
  <c r="U62" i="57" s="1"/>
  <c r="V62" i="57" s="1"/>
  <c r="W62" i="57" s="1"/>
  <c r="X62" i="57" s="1"/>
  <c r="Y62" i="57" s="1"/>
  <c r="Z62" i="57" s="1"/>
  <c r="AA62" i="57" s="1"/>
  <c r="AB62" i="57" s="1"/>
  <c r="AC62" i="57" s="1"/>
  <c r="AD62" i="57" s="1"/>
  <c r="AE62" i="57" s="1"/>
  <c r="AF62" i="57" s="1"/>
  <c r="AG62" i="57" s="1"/>
  <c r="AH62" i="57" s="1"/>
  <c r="AI62" i="57" s="1"/>
  <c r="AJ62" i="57" s="1"/>
  <c r="AK62" i="57" s="1"/>
  <c r="AL62" i="57" s="1"/>
  <c r="AM62" i="57" s="1"/>
  <c r="AN62" i="57" s="1"/>
  <c r="AO62" i="57" s="1"/>
  <c r="AP62" i="57" s="1"/>
  <c r="AQ62" i="57" s="1"/>
  <c r="AR62" i="57" s="1"/>
  <c r="AS62" i="57" s="1"/>
  <c r="AT62" i="57" s="1"/>
  <c r="AU62" i="57" s="1"/>
  <c r="AV62" i="57" s="1"/>
  <c r="AW62" i="57" s="1"/>
  <c r="AX62" i="57" s="1"/>
  <c r="C53" i="57"/>
  <c r="D53" i="57" s="1"/>
  <c r="E53" i="57" s="1"/>
  <c r="F53" i="57" s="1"/>
  <c r="G53" i="57" s="1"/>
  <c r="H53" i="57" s="1"/>
  <c r="I53" i="57" s="1"/>
  <c r="J53" i="57" s="1"/>
  <c r="K53" i="57" s="1"/>
  <c r="L53" i="57" s="1"/>
  <c r="M53" i="57" s="1"/>
  <c r="N53" i="57" s="1"/>
  <c r="O53" i="57" s="1"/>
  <c r="P53" i="57" s="1"/>
  <c r="Q53" i="57" s="1"/>
  <c r="R53" i="57" s="1"/>
  <c r="S53" i="57" s="1"/>
  <c r="C49" i="44"/>
  <c r="F13" i="58"/>
  <c r="H4" i="58"/>
  <c r="H13" i="58" s="1"/>
  <c r="T53" i="57" l="1"/>
  <c r="U53" i="57" s="1"/>
  <c r="V53" i="57" s="1"/>
  <c r="W53" i="57" s="1"/>
  <c r="X53" i="57" s="1"/>
  <c r="Y53" i="57" s="1"/>
  <c r="Z53" i="57" s="1"/>
  <c r="AA53" i="57" s="1"/>
  <c r="AB53" i="57" s="1"/>
  <c r="AC53" i="57" s="1"/>
  <c r="AD53" i="57" s="1"/>
  <c r="AE53" i="57" s="1"/>
  <c r="AF53" i="57" s="1"/>
  <c r="AG53" i="57" s="1"/>
  <c r="AH53" i="57" s="1"/>
  <c r="AI53" i="57" s="1"/>
  <c r="AJ53" i="57" s="1"/>
  <c r="AK53" i="57" s="1"/>
  <c r="AL53" i="57" s="1"/>
  <c r="AM53" i="57" s="1"/>
  <c r="AN53" i="57" s="1"/>
  <c r="AO53" i="57" s="1"/>
  <c r="AP53" i="57" s="1"/>
  <c r="AQ53" i="57" s="1"/>
  <c r="AR53" i="57" s="1"/>
  <c r="AS53" i="57" s="1"/>
  <c r="AT53" i="57" s="1"/>
  <c r="AU53" i="57" s="1"/>
  <c r="AV53" i="57" s="1"/>
  <c r="AW53" i="57" s="1"/>
  <c r="AX53" i="57" s="1"/>
  <c r="AY53" i="57" s="1"/>
  <c r="J4" i="58"/>
  <c r="H5" i="58"/>
  <c r="H14" i="58" s="1"/>
  <c r="C59" i="44"/>
  <c r="C58" i="44"/>
  <c r="C55" i="44"/>
  <c r="C56" i="44"/>
  <c r="C62" i="44" l="1"/>
  <c r="C61" i="44"/>
  <c r="C65" i="44"/>
  <c r="J13" i="58"/>
  <c r="L4" i="58"/>
  <c r="C64" i="44"/>
  <c r="L13" i="58" l="1"/>
  <c r="N4" i="58"/>
  <c r="N13" i="58" s="1"/>
  <c r="K59" i="31"/>
  <c r="K65" i="31"/>
  <c r="K64" i="31"/>
  <c r="L59" i="31" l="1"/>
  <c r="M59" i="31" s="1"/>
  <c r="K68" i="31"/>
  <c r="L65" i="31"/>
  <c r="O59" i="31" l="1"/>
  <c r="P59" i="31"/>
  <c r="R59" i="31"/>
  <c r="Q59" i="31"/>
  <c r="N59" i="31"/>
  <c r="M65" i="31"/>
  <c r="S65" i="31" s="1"/>
  <c r="C40" i="57"/>
  <c r="C26" i="57" s="1"/>
  <c r="N65" i="31"/>
  <c r="J5" i="58"/>
  <c r="L5" i="58" s="1"/>
  <c r="N5" i="58" s="1"/>
  <c r="J26" i="44"/>
  <c r="AR51" i="57" l="1"/>
  <c r="AU51" i="57"/>
  <c r="G51" i="57"/>
  <c r="AL51" i="57"/>
  <c r="P51" i="57"/>
  <c r="AH51" i="57"/>
  <c r="O51" i="57"/>
  <c r="R51" i="57"/>
  <c r="AF51" i="57"/>
  <c r="AW51" i="57"/>
  <c r="AK51" i="57"/>
  <c r="AB51" i="57"/>
  <c r="AM51" i="57"/>
  <c r="AX51" i="57"/>
  <c r="Z51" i="57"/>
  <c r="T51" i="57"/>
  <c r="AC51" i="57"/>
  <c r="X51" i="57"/>
  <c r="AE51" i="57"/>
  <c r="AP51" i="57"/>
  <c r="V51" i="57"/>
  <c r="AI51" i="57"/>
  <c r="AV51" i="57"/>
  <c r="AA51" i="57"/>
  <c r="U51" i="57"/>
  <c r="J51" i="57"/>
  <c r="AQ51" i="57"/>
  <c r="AS51" i="57"/>
  <c r="Q51" i="57"/>
  <c r="J74" i="31"/>
  <c r="K74" i="31" s="1"/>
  <c r="J85" i="31"/>
  <c r="K85" i="31" s="1"/>
  <c r="F51" i="57"/>
  <c r="L51" i="57"/>
  <c r="K51" i="57"/>
  <c r="AG51" i="57"/>
  <c r="M51" i="57"/>
  <c r="AJ51" i="57"/>
  <c r="D51" i="57"/>
  <c r="W51" i="57"/>
  <c r="AT51" i="57"/>
  <c r="AD51" i="57"/>
  <c r="N51" i="57"/>
  <c r="AN51" i="57"/>
  <c r="H51" i="57"/>
  <c r="S51" i="57"/>
  <c r="AO51" i="57"/>
  <c r="Y51" i="57"/>
  <c r="I51" i="57"/>
  <c r="C51" i="57"/>
  <c r="Q65" i="31"/>
  <c r="R65" i="31"/>
  <c r="O65" i="31"/>
  <c r="P65" i="31"/>
  <c r="E51" i="57"/>
  <c r="AM51" i="31"/>
  <c r="AN51" i="31"/>
  <c r="AO51" i="31"/>
  <c r="AP51" i="31"/>
  <c r="AQ51" i="31"/>
  <c r="AR51" i="31"/>
  <c r="AS51" i="31"/>
  <c r="AT51" i="31"/>
  <c r="AU51" i="31"/>
  <c r="AV51" i="31"/>
  <c r="AW51" i="31"/>
  <c r="AL51" i="31"/>
  <c r="AM52" i="31"/>
  <c r="AN52" i="31"/>
  <c r="AO52" i="31"/>
  <c r="AP52" i="31"/>
  <c r="AQ52" i="31"/>
  <c r="AR52" i="31"/>
  <c r="AS52" i="31"/>
  <c r="AT52" i="31"/>
  <c r="AU52" i="31"/>
  <c r="AV52" i="31"/>
  <c r="AW52" i="31"/>
  <c r="AL52" i="31"/>
  <c r="O85" i="31" l="1"/>
  <c r="M85" i="31"/>
  <c r="N85" i="31"/>
  <c r="L74" i="31"/>
  <c r="L85" i="31"/>
  <c r="O74" i="31"/>
  <c r="M74" i="31"/>
  <c r="N74" i="31"/>
  <c r="B16" i="31"/>
  <c r="C16" i="31"/>
  <c r="D16" i="31"/>
  <c r="E16" i="31"/>
  <c r="F16" i="31"/>
  <c r="G16" i="31"/>
  <c r="H16" i="31"/>
  <c r="I16" i="31"/>
  <c r="J16" i="31"/>
  <c r="K16" i="31"/>
  <c r="L16" i="31"/>
  <c r="M16" i="31"/>
  <c r="N16" i="31"/>
  <c r="O16" i="31"/>
  <c r="P16" i="31"/>
  <c r="Q16" i="31"/>
  <c r="R16" i="31"/>
  <c r="S16" i="31"/>
  <c r="T16" i="31"/>
  <c r="U16" i="31"/>
  <c r="V16" i="31"/>
  <c r="W16" i="31"/>
  <c r="X16" i="31"/>
  <c r="Y16" i="31"/>
  <c r="Z16" i="31"/>
  <c r="AA16" i="31"/>
  <c r="AB16" i="31"/>
  <c r="AC16" i="31"/>
  <c r="AD16" i="31"/>
  <c r="AE16" i="31"/>
  <c r="AF16" i="31"/>
  <c r="AG16" i="31"/>
  <c r="AH16" i="31"/>
  <c r="AI16" i="31"/>
  <c r="AJ16" i="31"/>
  <c r="AK16" i="31"/>
  <c r="AL16" i="31"/>
  <c r="AM16" i="31"/>
  <c r="AN16" i="31"/>
  <c r="AO16" i="31"/>
  <c r="AP16" i="31"/>
  <c r="AQ16" i="31"/>
  <c r="AR16" i="31"/>
  <c r="AS16" i="31"/>
  <c r="AT16" i="31"/>
  <c r="AU16" i="31"/>
  <c r="AV16" i="31"/>
  <c r="AW16" i="31"/>
  <c r="B6" i="55"/>
  <c r="C6" i="55"/>
  <c r="D6" i="55"/>
  <c r="AM6" i="55"/>
  <c r="AN6" i="55"/>
  <c r="AO6" i="55"/>
  <c r="AP6" i="55"/>
  <c r="AQ6" i="55"/>
  <c r="AR6" i="55"/>
  <c r="AS6" i="55"/>
  <c r="AT6" i="55"/>
  <c r="AU6" i="55"/>
  <c r="AV6" i="55"/>
  <c r="AW6" i="55"/>
  <c r="AL6" i="55"/>
  <c r="AA6" i="55"/>
  <c r="AB6" i="55"/>
  <c r="AC6" i="55"/>
  <c r="AD6" i="55"/>
  <c r="AE6" i="55"/>
  <c r="AF6" i="55"/>
  <c r="AG6" i="55"/>
  <c r="AH6" i="55"/>
  <c r="AI6" i="55"/>
  <c r="AJ6" i="55"/>
  <c r="AK6" i="55"/>
  <c r="Z6" i="55"/>
  <c r="O6" i="55"/>
  <c r="P6" i="55"/>
  <c r="Q6" i="55"/>
  <c r="R6" i="55"/>
  <c r="S6" i="55"/>
  <c r="T6" i="55"/>
  <c r="U6" i="55"/>
  <c r="V6" i="55"/>
  <c r="W6" i="55"/>
  <c r="X6" i="55"/>
  <c r="Y6" i="55"/>
  <c r="N6" i="55"/>
  <c r="F6" i="55"/>
  <c r="G6" i="55"/>
  <c r="H6" i="55"/>
  <c r="I6" i="55"/>
  <c r="J6" i="55"/>
  <c r="K6" i="55"/>
  <c r="L6" i="55"/>
  <c r="M6" i="55"/>
  <c r="E6" i="55"/>
  <c r="O15" i="55"/>
  <c r="P15" i="55"/>
  <c r="Q15" i="55"/>
  <c r="R15" i="55"/>
  <c r="S15" i="55"/>
  <c r="T15" i="55"/>
  <c r="U15" i="55"/>
  <c r="V15" i="55"/>
  <c r="W15" i="55"/>
  <c r="X15" i="55"/>
  <c r="Y15" i="55"/>
  <c r="N15" i="55"/>
  <c r="B17" i="31"/>
  <c r="M11" i="31" l="1"/>
  <c r="M29" i="31"/>
  <c r="N10" i="31"/>
  <c r="N29" i="31"/>
  <c r="Z10" i="31"/>
  <c r="Z29" i="31"/>
  <c r="AD10" i="31"/>
  <c r="AD29" i="31"/>
  <c r="AT10" i="31"/>
  <c r="AT29" i="31"/>
  <c r="AP10" i="31"/>
  <c r="AP29" i="31"/>
  <c r="L10" i="31"/>
  <c r="L29" i="31"/>
  <c r="U11" i="31"/>
  <c r="U29" i="31"/>
  <c r="AK11" i="31"/>
  <c r="AK29" i="31"/>
  <c r="AC11" i="31"/>
  <c r="AC29" i="31"/>
  <c r="AS11" i="31"/>
  <c r="AS29" i="31"/>
  <c r="C10" i="31"/>
  <c r="C29" i="31"/>
  <c r="K10" i="31"/>
  <c r="K29" i="31"/>
  <c r="G10" i="31"/>
  <c r="G29" i="31"/>
  <c r="X10" i="31"/>
  <c r="X29" i="31"/>
  <c r="T10" i="31"/>
  <c r="T29" i="31"/>
  <c r="P10" i="31"/>
  <c r="P29" i="31"/>
  <c r="AJ10" i="31"/>
  <c r="AJ29" i="31"/>
  <c r="AF10" i="31"/>
  <c r="AF29" i="31"/>
  <c r="AB10" i="31"/>
  <c r="AB29" i="31"/>
  <c r="AV10" i="31"/>
  <c r="AV29" i="31"/>
  <c r="AR10" i="31"/>
  <c r="AR29" i="31"/>
  <c r="AN10" i="31"/>
  <c r="AN29" i="31"/>
  <c r="B10" i="31"/>
  <c r="B5" i="31"/>
  <c r="C5" i="31" s="1"/>
  <c r="D5" i="31" s="1"/>
  <c r="E5" i="31" s="1"/>
  <c r="F5" i="31" s="1"/>
  <c r="G5" i="31" s="1"/>
  <c r="H5" i="31" s="1"/>
  <c r="I5" i="31" s="1"/>
  <c r="J5" i="31" s="1"/>
  <c r="K5" i="31" s="1"/>
  <c r="L5" i="31" s="1"/>
  <c r="M5" i="31" s="1"/>
  <c r="N5" i="31" s="1"/>
  <c r="O5" i="31" s="1"/>
  <c r="P5" i="31" s="1"/>
  <c r="Q5" i="31" s="1"/>
  <c r="R5" i="31" s="1"/>
  <c r="S5" i="31" s="1"/>
  <c r="T5" i="31" s="1"/>
  <c r="U5" i="31" s="1"/>
  <c r="V5" i="31" s="1"/>
  <c r="W5" i="31" s="1"/>
  <c r="X5" i="31" s="1"/>
  <c r="Y5" i="31" s="1"/>
  <c r="Z5" i="31" s="1"/>
  <c r="AA5" i="31" s="1"/>
  <c r="AB5" i="31" s="1"/>
  <c r="AC5" i="31" s="1"/>
  <c r="AD5" i="31" s="1"/>
  <c r="AE5" i="31" s="1"/>
  <c r="AF5" i="31" s="1"/>
  <c r="AG5" i="31" s="1"/>
  <c r="AH5" i="31" s="1"/>
  <c r="AI5" i="31" s="1"/>
  <c r="AJ5" i="31" s="1"/>
  <c r="AK5" i="31" s="1"/>
  <c r="AL5" i="31" s="1"/>
  <c r="AM5" i="31" s="1"/>
  <c r="AN5" i="31" s="1"/>
  <c r="AO5" i="31" s="1"/>
  <c r="AP5" i="31" s="1"/>
  <c r="AQ5" i="31" s="1"/>
  <c r="AR5" i="31" s="1"/>
  <c r="AS5" i="31" s="1"/>
  <c r="AT5" i="31" s="1"/>
  <c r="AU5" i="31" s="1"/>
  <c r="AV5" i="31" s="1"/>
  <c r="AW5" i="31" s="1"/>
  <c r="B29" i="31"/>
  <c r="I10" i="31"/>
  <c r="I29" i="31"/>
  <c r="V10" i="31"/>
  <c r="V29" i="31"/>
  <c r="R10" i="31"/>
  <c r="R29" i="31"/>
  <c r="AH10" i="31"/>
  <c r="AH29" i="31"/>
  <c r="AL10" i="31"/>
  <c r="AL29" i="31"/>
  <c r="D10" i="31"/>
  <c r="D29" i="31"/>
  <c r="H10" i="31"/>
  <c r="H29" i="31"/>
  <c r="Y10" i="31"/>
  <c r="Y29" i="31"/>
  <c r="Q11" i="31"/>
  <c r="Q29" i="31"/>
  <c r="AG11" i="31"/>
  <c r="AG29" i="31"/>
  <c r="AW11" i="31"/>
  <c r="AW29" i="31"/>
  <c r="AO10" i="31"/>
  <c r="AO29" i="31"/>
  <c r="E10" i="31"/>
  <c r="E29" i="31"/>
  <c r="J10" i="31"/>
  <c r="J29" i="31"/>
  <c r="F10" i="31"/>
  <c r="F29" i="31"/>
  <c r="W10" i="31"/>
  <c r="W29" i="31"/>
  <c r="S10" i="31"/>
  <c r="S29" i="31"/>
  <c r="O10" i="31"/>
  <c r="O29" i="31"/>
  <c r="AI10" i="31"/>
  <c r="AI29" i="31"/>
  <c r="AE10" i="31"/>
  <c r="AE29" i="31"/>
  <c r="AA10" i="31"/>
  <c r="AA29" i="31"/>
  <c r="AU10" i="31"/>
  <c r="AU29" i="31"/>
  <c r="AQ10" i="31"/>
  <c r="AQ29" i="31"/>
  <c r="AM10" i="31"/>
  <c r="AM29" i="31"/>
  <c r="I11" i="31"/>
  <c r="M10" i="31"/>
  <c r="AO11" i="31"/>
  <c r="Y11" i="31"/>
  <c r="AK10" i="31"/>
  <c r="U10" i="31"/>
  <c r="AW10" i="31"/>
  <c r="AG10" i="31"/>
  <c r="Q10" i="31"/>
  <c r="AS10" i="31"/>
  <c r="AC10" i="31"/>
  <c r="E11" i="31"/>
  <c r="AV11" i="31"/>
  <c r="AR11" i="31"/>
  <c r="AN11" i="31"/>
  <c r="AJ11" i="31"/>
  <c r="AF11" i="31"/>
  <c r="AB11" i="31"/>
  <c r="X11" i="31"/>
  <c r="T11" i="31"/>
  <c r="P11" i="31"/>
  <c r="L11" i="31"/>
  <c r="H11" i="31"/>
  <c r="D11" i="31"/>
  <c r="AU11" i="31"/>
  <c r="AQ11" i="31"/>
  <c r="AM11" i="31"/>
  <c r="AI11" i="31"/>
  <c r="AE11" i="31"/>
  <c r="AA11" i="31"/>
  <c r="W11" i="31"/>
  <c r="S11" i="31"/>
  <c r="O11" i="31"/>
  <c r="K11" i="31"/>
  <c r="G11" i="31"/>
  <c r="C11" i="31"/>
  <c r="AT11" i="31"/>
  <c r="AP11" i="31"/>
  <c r="AL11" i="31"/>
  <c r="AH11" i="31"/>
  <c r="AD11" i="31"/>
  <c r="Z11" i="31"/>
  <c r="V11" i="31"/>
  <c r="R11" i="31"/>
  <c r="N11" i="31"/>
  <c r="J11" i="31"/>
  <c r="F11" i="31"/>
  <c r="B11" i="31"/>
  <c r="C17" i="31"/>
  <c r="D17" i="31" s="1"/>
  <c r="E17" i="31" s="1"/>
  <c r="F17" i="31" s="1"/>
  <c r="G17" i="31" s="1"/>
  <c r="H17" i="31" s="1"/>
  <c r="I17" i="31" s="1"/>
  <c r="J17" i="31" s="1"/>
  <c r="K17" i="31" s="1"/>
  <c r="L17" i="31" s="1"/>
  <c r="M17" i="31" s="1"/>
  <c r="N17" i="31" s="1"/>
  <c r="O17" i="31" s="1"/>
  <c r="P17" i="31" s="1"/>
  <c r="Q17" i="31" s="1"/>
  <c r="R17" i="31" s="1"/>
  <c r="S17" i="31" s="1"/>
  <c r="T17" i="31" s="1"/>
  <c r="U17" i="31" s="1"/>
  <c r="V17" i="31" s="1"/>
  <c r="W17" i="31" s="1"/>
  <c r="X17" i="31" s="1"/>
  <c r="Y17" i="31" s="1"/>
  <c r="Z17" i="31" s="1"/>
  <c r="AA17" i="31" s="1"/>
  <c r="AB17" i="31" s="1"/>
  <c r="AC17" i="31" s="1"/>
  <c r="AD17" i="31" s="1"/>
  <c r="AE17" i="31" s="1"/>
  <c r="AF17" i="31" s="1"/>
  <c r="AG17" i="31" s="1"/>
  <c r="AH17" i="31" s="1"/>
  <c r="AI17" i="31" s="1"/>
  <c r="AJ17" i="31" s="1"/>
  <c r="AK17" i="31" s="1"/>
  <c r="AL17" i="31" s="1"/>
  <c r="AM17" i="31" s="1"/>
  <c r="AN17" i="31" s="1"/>
  <c r="AO17" i="31" s="1"/>
  <c r="AP17" i="31" s="1"/>
  <c r="AQ17" i="31" s="1"/>
  <c r="AR17" i="31" s="1"/>
  <c r="AS17" i="31" s="1"/>
  <c r="AT17" i="31" s="1"/>
  <c r="AU17" i="31" s="1"/>
  <c r="AV17" i="31" s="1"/>
  <c r="AW17" i="31" s="1"/>
  <c r="B15" i="55" l="1"/>
  <c r="B47" i="31" s="1"/>
  <c r="C15" i="55"/>
  <c r="C47" i="31" s="1"/>
  <c r="D15" i="55"/>
  <c r="D47" i="31" s="1"/>
  <c r="E15" i="55"/>
  <c r="E47" i="31" s="1"/>
  <c r="F15" i="55"/>
  <c r="F47" i="31" s="1"/>
  <c r="G15" i="55"/>
  <c r="G47" i="31" s="1"/>
  <c r="H15" i="55"/>
  <c r="H47" i="31" s="1"/>
  <c r="I15" i="55"/>
  <c r="I47" i="31" s="1"/>
  <c r="J15" i="55"/>
  <c r="J47" i="31" s="1"/>
  <c r="K15" i="55"/>
  <c r="K47" i="31" s="1"/>
  <c r="L15" i="55"/>
  <c r="L47" i="31" s="1"/>
  <c r="M15" i="55"/>
  <c r="M47" i="31" s="1"/>
  <c r="N47" i="31"/>
  <c r="O47" i="31"/>
  <c r="P47" i="31"/>
  <c r="Q47" i="31"/>
  <c r="R47" i="31"/>
  <c r="S47" i="31"/>
  <c r="T47" i="31"/>
  <c r="U47" i="31"/>
  <c r="V47" i="31"/>
  <c r="W47" i="31"/>
  <c r="X47" i="31"/>
  <c r="Y47" i="31"/>
  <c r="Z15" i="55"/>
  <c r="Z47" i="31" s="1"/>
  <c r="AA15" i="55"/>
  <c r="AA47" i="31" s="1"/>
  <c r="AB15" i="55"/>
  <c r="AB47" i="31" s="1"/>
  <c r="AC15" i="55"/>
  <c r="AC47" i="31" s="1"/>
  <c r="AD15" i="55"/>
  <c r="AD47" i="31" s="1"/>
  <c r="AE15" i="55"/>
  <c r="AE47" i="31" s="1"/>
  <c r="AF15" i="55"/>
  <c r="AF47" i="31" s="1"/>
  <c r="AG15" i="55"/>
  <c r="AG47" i="31" s="1"/>
  <c r="AH15" i="55"/>
  <c r="AH47" i="31" s="1"/>
  <c r="AI15" i="55"/>
  <c r="AI47" i="31" s="1"/>
  <c r="AJ15" i="55"/>
  <c r="AJ47" i="31" s="1"/>
  <c r="AK15" i="55"/>
  <c r="AK47" i="31" s="1"/>
  <c r="AL15" i="55"/>
  <c r="AL47" i="31" s="1"/>
  <c r="AM15" i="55"/>
  <c r="AM47" i="31" s="1"/>
  <c r="AN15" i="55"/>
  <c r="AN47" i="31" s="1"/>
  <c r="AO15" i="55"/>
  <c r="AO47" i="31" s="1"/>
  <c r="AP15" i="55"/>
  <c r="AP47" i="31" s="1"/>
  <c r="AQ15" i="55"/>
  <c r="AQ47" i="31" s="1"/>
  <c r="AR15" i="55"/>
  <c r="AR47" i="31" s="1"/>
  <c r="AS15" i="55"/>
  <c r="AS47" i="31" s="1"/>
  <c r="AT15" i="55"/>
  <c r="AT47" i="31" s="1"/>
  <c r="AU15" i="55"/>
  <c r="AU47" i="31" s="1"/>
  <c r="AV15" i="55"/>
  <c r="AV47" i="31" s="1"/>
  <c r="AW15" i="55"/>
  <c r="AW47" i="31" s="1"/>
  <c r="B16" i="55"/>
  <c r="B49" i="31" s="1"/>
  <c r="C16" i="55"/>
  <c r="C49" i="31" s="1"/>
  <c r="D16" i="55"/>
  <c r="D49" i="31" s="1"/>
  <c r="E16" i="55"/>
  <c r="E49" i="31" s="1"/>
  <c r="F16" i="55"/>
  <c r="F49" i="31" s="1"/>
  <c r="G16" i="55"/>
  <c r="G49" i="31" s="1"/>
  <c r="H16" i="55"/>
  <c r="H49" i="31" s="1"/>
  <c r="I16" i="55"/>
  <c r="I49" i="31" s="1"/>
  <c r="J16" i="55"/>
  <c r="J49" i="31" s="1"/>
  <c r="K16" i="55"/>
  <c r="K49" i="31" s="1"/>
  <c r="L16" i="55"/>
  <c r="L49" i="31" s="1"/>
  <c r="M16" i="55"/>
  <c r="M49" i="31" s="1"/>
  <c r="N16" i="55"/>
  <c r="N49" i="31" s="1"/>
  <c r="O16" i="55"/>
  <c r="O49" i="31" s="1"/>
  <c r="P16" i="55"/>
  <c r="P49" i="31" s="1"/>
  <c r="Q16" i="55"/>
  <c r="Q49" i="31" s="1"/>
  <c r="R16" i="55"/>
  <c r="R49" i="31" s="1"/>
  <c r="S16" i="55"/>
  <c r="S49" i="31" s="1"/>
  <c r="T16" i="55"/>
  <c r="T49" i="31" s="1"/>
  <c r="U16" i="55"/>
  <c r="U49" i="31" s="1"/>
  <c r="V16" i="55"/>
  <c r="V49" i="31" s="1"/>
  <c r="W16" i="55"/>
  <c r="W49" i="31" s="1"/>
  <c r="X16" i="55"/>
  <c r="X49" i="31" s="1"/>
  <c r="Y16" i="55"/>
  <c r="Y49" i="31" s="1"/>
  <c r="Z16" i="55"/>
  <c r="Z49" i="31" s="1"/>
  <c r="AA16" i="55"/>
  <c r="AA49" i="31" s="1"/>
  <c r="AB16" i="55"/>
  <c r="AB49" i="31" s="1"/>
  <c r="AC16" i="55"/>
  <c r="AC49" i="31" s="1"/>
  <c r="AD16" i="55"/>
  <c r="AD49" i="31" s="1"/>
  <c r="AE16" i="55"/>
  <c r="AE49" i="31" s="1"/>
  <c r="AF16" i="55"/>
  <c r="AF49" i="31" s="1"/>
  <c r="AG16" i="55"/>
  <c r="AG49" i="31" s="1"/>
  <c r="AH16" i="55"/>
  <c r="AH49" i="31" s="1"/>
  <c r="AI16" i="55"/>
  <c r="AI49" i="31" s="1"/>
  <c r="AJ16" i="55"/>
  <c r="AJ49" i="31" s="1"/>
  <c r="AK16" i="55"/>
  <c r="AK49" i="31" s="1"/>
  <c r="AL16" i="55"/>
  <c r="AL49" i="31" s="1"/>
  <c r="AM16" i="55"/>
  <c r="AM49" i="31" s="1"/>
  <c r="AN16" i="55"/>
  <c r="AN49" i="31" s="1"/>
  <c r="AO16" i="55"/>
  <c r="AO49" i="31" s="1"/>
  <c r="AP16" i="55"/>
  <c r="AP49" i="31" s="1"/>
  <c r="AQ16" i="55"/>
  <c r="AQ49" i="31" s="1"/>
  <c r="AR16" i="55"/>
  <c r="AR49" i="31" s="1"/>
  <c r="AS16" i="55"/>
  <c r="AS49" i="31" s="1"/>
  <c r="AT16" i="55"/>
  <c r="AT49" i="31" s="1"/>
  <c r="AU16" i="55"/>
  <c r="AU49" i="31" s="1"/>
  <c r="AV16" i="55"/>
  <c r="AV49" i="31" s="1"/>
  <c r="AW16" i="55"/>
  <c r="AW49" i="31" s="1"/>
  <c r="E13" i="44"/>
  <c r="A15" i="55" s="1"/>
  <c r="A47" i="31" s="1"/>
  <c r="E10" i="44"/>
  <c r="A16" i="55" s="1"/>
  <c r="A49" i="31" s="1"/>
  <c r="C36" i="57" l="1"/>
  <c r="C24" i="57" s="1"/>
  <c r="F25" i="58" l="1"/>
  <c r="F19" i="58"/>
  <c r="F14" i="58"/>
  <c r="G10" i="58" l="1"/>
  <c r="F21" i="58"/>
  <c r="F26" i="58"/>
  <c r="F28" i="58" s="1"/>
  <c r="F30" i="58" s="1"/>
  <c r="G14" i="58"/>
  <c r="G19" i="58"/>
  <c r="J14" i="58"/>
  <c r="G21" i="58"/>
  <c r="G7" i="58"/>
  <c r="G4" i="58"/>
  <c r="G13" i="58"/>
  <c r="G6" i="58"/>
  <c r="G23" i="58"/>
  <c r="G16" i="58"/>
  <c r="G5" i="58"/>
  <c r="G22" i="58"/>
  <c r="G15" i="58"/>
  <c r="N14" i="58" l="1"/>
  <c r="L14" i="58"/>
  <c r="N42" i="58" l="1"/>
  <c r="M45" i="58" s="1"/>
  <c r="N41" i="58"/>
  <c r="M44" i="58" s="1"/>
  <c r="L44" i="58" l="1"/>
  <c r="L45" i="58"/>
  <c r="K60" i="31" l="1"/>
  <c r="D36" i="57"/>
  <c r="E36" i="57" s="1"/>
  <c r="J83" i="31" l="1"/>
  <c r="C37" i="57"/>
  <c r="C25" i="57" s="1"/>
  <c r="L60" i="31"/>
  <c r="M60" i="31" s="1"/>
  <c r="B52" i="31"/>
  <c r="C52" i="31"/>
  <c r="D52" i="31"/>
  <c r="E52" i="31"/>
  <c r="F52" i="31"/>
  <c r="G52" i="31"/>
  <c r="H52" i="31"/>
  <c r="I52" i="31"/>
  <c r="J52" i="31"/>
  <c r="K52" i="31"/>
  <c r="L52" i="31"/>
  <c r="M52" i="31"/>
  <c r="N52" i="31"/>
  <c r="O52" i="31"/>
  <c r="P52" i="31"/>
  <c r="Q52" i="31"/>
  <c r="R52" i="31"/>
  <c r="S52" i="31"/>
  <c r="T52" i="31"/>
  <c r="U52" i="31"/>
  <c r="V52" i="31"/>
  <c r="W52" i="31"/>
  <c r="X52" i="31"/>
  <c r="Y52" i="31"/>
  <c r="Z52" i="31"/>
  <c r="AA52" i="31"/>
  <c r="AB52" i="31"/>
  <c r="AC52" i="31"/>
  <c r="AD52" i="31"/>
  <c r="AE52" i="31"/>
  <c r="AF52" i="31"/>
  <c r="AG52" i="31"/>
  <c r="AH52" i="31"/>
  <c r="AI52" i="31"/>
  <c r="AJ52" i="31"/>
  <c r="AK52" i="31"/>
  <c r="AA51" i="31"/>
  <c r="AB51" i="31"/>
  <c r="AC51" i="31"/>
  <c r="AD51" i="31"/>
  <c r="AE51" i="31"/>
  <c r="AF51" i="31"/>
  <c r="AG51" i="31"/>
  <c r="AH51" i="31"/>
  <c r="AI51" i="31"/>
  <c r="AJ51" i="31"/>
  <c r="AK51" i="31"/>
  <c r="Z51" i="31"/>
  <c r="O51" i="31"/>
  <c r="P51" i="31"/>
  <c r="Q51" i="31"/>
  <c r="R51" i="31"/>
  <c r="S51" i="31"/>
  <c r="T51" i="31"/>
  <c r="U51" i="31"/>
  <c r="V51" i="31"/>
  <c r="W51" i="31"/>
  <c r="X51" i="31"/>
  <c r="Y51" i="31"/>
  <c r="N51" i="31"/>
  <c r="C51" i="31"/>
  <c r="D51" i="31"/>
  <c r="E51" i="31"/>
  <c r="F51" i="31"/>
  <c r="G51" i="31"/>
  <c r="H51" i="31"/>
  <c r="I51" i="31"/>
  <c r="J51" i="31"/>
  <c r="K51" i="31"/>
  <c r="L51" i="31"/>
  <c r="M51" i="31"/>
  <c r="B51" i="31"/>
  <c r="R60" i="31" l="1"/>
  <c r="Q60" i="31"/>
  <c r="O60" i="31"/>
  <c r="P60" i="31"/>
  <c r="L83" i="31"/>
  <c r="K83" i="31"/>
  <c r="N60" i="31"/>
  <c r="C39" i="57"/>
  <c r="C41" i="57"/>
  <c r="C38" i="57"/>
  <c r="B74" i="31"/>
  <c r="C74" i="31"/>
  <c r="B73" i="31"/>
  <c r="C73" i="31"/>
  <c r="D73" i="31"/>
  <c r="E73" i="31"/>
  <c r="E74" i="31"/>
  <c r="D74" i="31"/>
  <c r="O83" i="31" l="1"/>
  <c r="M83" i="31"/>
  <c r="N83" i="31"/>
  <c r="N23" i="58"/>
  <c r="L23" i="58"/>
  <c r="J23" i="58"/>
  <c r="H23" i="58"/>
  <c r="J24" i="30"/>
  <c r="L24" i="30"/>
  <c r="H24" i="30"/>
  <c r="F24" i="30"/>
  <c r="B13" i="31" l="1"/>
  <c r="B26" i="31" s="1"/>
  <c r="B11" i="55"/>
  <c r="B40" i="31" s="1"/>
  <c r="C11" i="55"/>
  <c r="C40" i="31" s="1"/>
  <c r="D11" i="55"/>
  <c r="D40" i="31" s="1"/>
  <c r="E11" i="55"/>
  <c r="E40" i="31" s="1"/>
  <c r="F11" i="55"/>
  <c r="F40" i="31" s="1"/>
  <c r="G11" i="55"/>
  <c r="G40" i="31" s="1"/>
  <c r="H11" i="55"/>
  <c r="H40" i="31" s="1"/>
  <c r="I11" i="55"/>
  <c r="I40" i="31" s="1"/>
  <c r="J11" i="55"/>
  <c r="J40" i="31" s="1"/>
  <c r="K11" i="55"/>
  <c r="K40" i="31" s="1"/>
  <c r="L11" i="55"/>
  <c r="L40" i="31" s="1"/>
  <c r="M11" i="55"/>
  <c r="M40" i="31" s="1"/>
  <c r="N11" i="55"/>
  <c r="N40" i="31" s="1"/>
  <c r="O11" i="55"/>
  <c r="O40" i="31" s="1"/>
  <c r="P11" i="55"/>
  <c r="P40" i="31" s="1"/>
  <c r="Q11" i="55"/>
  <c r="Q40" i="31" s="1"/>
  <c r="R11" i="55"/>
  <c r="R40" i="31" s="1"/>
  <c r="S11" i="55"/>
  <c r="S40" i="31" s="1"/>
  <c r="T11" i="55"/>
  <c r="T40" i="31" s="1"/>
  <c r="U11" i="55"/>
  <c r="U40" i="31" s="1"/>
  <c r="V11" i="55"/>
  <c r="V40" i="31" s="1"/>
  <c r="W11" i="55"/>
  <c r="W40" i="31" s="1"/>
  <c r="X11" i="55"/>
  <c r="X40" i="31" s="1"/>
  <c r="Y11" i="55"/>
  <c r="Y40" i="31" s="1"/>
  <c r="Z11" i="55"/>
  <c r="Z40" i="31" s="1"/>
  <c r="AA11" i="55"/>
  <c r="AA40" i="31" s="1"/>
  <c r="AB11" i="55"/>
  <c r="AB40" i="31" s="1"/>
  <c r="AC11" i="55"/>
  <c r="AC40" i="31" s="1"/>
  <c r="AD11" i="55"/>
  <c r="AD40" i="31" s="1"/>
  <c r="AE11" i="55"/>
  <c r="AE40" i="31" s="1"/>
  <c r="AF11" i="55"/>
  <c r="AF40" i="31" s="1"/>
  <c r="AG11" i="55"/>
  <c r="AG40" i="31" s="1"/>
  <c r="AH11" i="55"/>
  <c r="AH40" i="31" s="1"/>
  <c r="AI11" i="55"/>
  <c r="AI40" i="31" s="1"/>
  <c r="AJ11" i="55"/>
  <c r="AJ40" i="31" s="1"/>
  <c r="AK11" i="55"/>
  <c r="AK40" i="31" s="1"/>
  <c r="AL11" i="55"/>
  <c r="AL40" i="31" s="1"/>
  <c r="AM11" i="55"/>
  <c r="AM40" i="31" s="1"/>
  <c r="AN11" i="55"/>
  <c r="AN40" i="31" s="1"/>
  <c r="AO11" i="55"/>
  <c r="AO40" i="31" s="1"/>
  <c r="AP11" i="55"/>
  <c r="AP40" i="31" s="1"/>
  <c r="AQ11" i="55"/>
  <c r="AQ40" i="31" s="1"/>
  <c r="AR11" i="55"/>
  <c r="AR40" i="31" s="1"/>
  <c r="AS11" i="55"/>
  <c r="AS40" i="31" s="1"/>
  <c r="AT11" i="55"/>
  <c r="AT40" i="31" s="1"/>
  <c r="AU11" i="55"/>
  <c r="AU40" i="31" s="1"/>
  <c r="AV11" i="55"/>
  <c r="AV40" i="31" s="1"/>
  <c r="AW11" i="55"/>
  <c r="AW40" i="31" s="1"/>
  <c r="B14" i="55"/>
  <c r="B41" i="31" s="1"/>
  <c r="C14" i="55"/>
  <c r="C41" i="31" s="1"/>
  <c r="D14" i="55"/>
  <c r="D41" i="31" s="1"/>
  <c r="E14" i="55"/>
  <c r="E41" i="31" s="1"/>
  <c r="F14" i="55"/>
  <c r="F41" i="31" s="1"/>
  <c r="G14" i="55"/>
  <c r="G41" i="31" s="1"/>
  <c r="H14" i="55"/>
  <c r="H41" i="31" s="1"/>
  <c r="I14" i="55"/>
  <c r="I41" i="31" s="1"/>
  <c r="J14" i="55"/>
  <c r="J41" i="31" s="1"/>
  <c r="K14" i="55"/>
  <c r="K41" i="31" s="1"/>
  <c r="L14" i="55"/>
  <c r="L41" i="31" s="1"/>
  <c r="M14" i="55"/>
  <c r="M41" i="31" s="1"/>
  <c r="N14" i="55"/>
  <c r="N41" i="31" s="1"/>
  <c r="O14" i="55"/>
  <c r="O41" i="31" s="1"/>
  <c r="P14" i="55"/>
  <c r="P41" i="31" s="1"/>
  <c r="Q14" i="55"/>
  <c r="Q41" i="31" s="1"/>
  <c r="R14" i="55"/>
  <c r="R41" i="31" s="1"/>
  <c r="S14" i="55"/>
  <c r="S41" i="31" s="1"/>
  <c r="T14" i="55"/>
  <c r="T41" i="31" s="1"/>
  <c r="U14" i="55"/>
  <c r="U41" i="31" s="1"/>
  <c r="V14" i="55"/>
  <c r="V41" i="31" s="1"/>
  <c r="W14" i="55"/>
  <c r="W41" i="31" s="1"/>
  <c r="X14" i="55"/>
  <c r="X41" i="31" s="1"/>
  <c r="Y14" i="55"/>
  <c r="Y41" i="31" s="1"/>
  <c r="Z14" i="55"/>
  <c r="Z41" i="31" s="1"/>
  <c r="AA14" i="55"/>
  <c r="AA41" i="31" s="1"/>
  <c r="AB14" i="55"/>
  <c r="AB41" i="31" s="1"/>
  <c r="AC14" i="55"/>
  <c r="AC41" i="31" s="1"/>
  <c r="AD14" i="55"/>
  <c r="AD41" i="31" s="1"/>
  <c r="AE14" i="55"/>
  <c r="AE41" i="31" s="1"/>
  <c r="AF14" i="55"/>
  <c r="AF41" i="31" s="1"/>
  <c r="AG14" i="55"/>
  <c r="AG41" i="31" s="1"/>
  <c r="AH14" i="55"/>
  <c r="AH41" i="31" s="1"/>
  <c r="AI14" i="55"/>
  <c r="AI41" i="31" s="1"/>
  <c r="AJ14" i="55"/>
  <c r="AJ41" i="31" s="1"/>
  <c r="AK14" i="55"/>
  <c r="AK41" i="31" s="1"/>
  <c r="AL14" i="55"/>
  <c r="AL41" i="31" s="1"/>
  <c r="AM14" i="55"/>
  <c r="AM41" i="31" s="1"/>
  <c r="AN14" i="55"/>
  <c r="AN41" i="31" s="1"/>
  <c r="AO14" i="55"/>
  <c r="AO41" i="31" s="1"/>
  <c r="AP14" i="55"/>
  <c r="AP41" i="31" s="1"/>
  <c r="AQ14" i="55"/>
  <c r="AQ41" i="31" s="1"/>
  <c r="AR14" i="55"/>
  <c r="AR41" i="31" s="1"/>
  <c r="AS14" i="55"/>
  <c r="AS41" i="31" s="1"/>
  <c r="AT14" i="55"/>
  <c r="AT41" i="31" s="1"/>
  <c r="AU14" i="55"/>
  <c r="AU41" i="31" s="1"/>
  <c r="AV14" i="55"/>
  <c r="AV41" i="31" s="1"/>
  <c r="AW14" i="55"/>
  <c r="AW41" i="31" s="1"/>
  <c r="AM10" i="55"/>
  <c r="AM39" i="31" s="1"/>
  <c r="AN10" i="55"/>
  <c r="AN39" i="31" s="1"/>
  <c r="AO10" i="55"/>
  <c r="AO39" i="31" s="1"/>
  <c r="AP10" i="55"/>
  <c r="AP39" i="31" s="1"/>
  <c r="AQ10" i="55"/>
  <c r="AQ39" i="31" s="1"/>
  <c r="AR10" i="55"/>
  <c r="AR39" i="31" s="1"/>
  <c r="AS10" i="55"/>
  <c r="AS39" i="31" s="1"/>
  <c r="AT10" i="55"/>
  <c r="AT39" i="31" s="1"/>
  <c r="AU10" i="55"/>
  <c r="AU39" i="31" s="1"/>
  <c r="AV10" i="55"/>
  <c r="AV39" i="31" s="1"/>
  <c r="AW10" i="55"/>
  <c r="AW39" i="31" s="1"/>
  <c r="AL10" i="55"/>
  <c r="AL39" i="31" s="1"/>
  <c r="AA10" i="55"/>
  <c r="AA39" i="31" s="1"/>
  <c r="AB10" i="55"/>
  <c r="AB39" i="31" s="1"/>
  <c r="AC10" i="55"/>
  <c r="AC39" i="31" s="1"/>
  <c r="AD10" i="55"/>
  <c r="AD39" i="31" s="1"/>
  <c r="AE10" i="55"/>
  <c r="AE39" i="31" s="1"/>
  <c r="AF10" i="55"/>
  <c r="AF39" i="31" s="1"/>
  <c r="AG10" i="55"/>
  <c r="AG39" i="31" s="1"/>
  <c r="AH10" i="55"/>
  <c r="AH39" i="31" s="1"/>
  <c r="AI10" i="55"/>
  <c r="AI39" i="31" s="1"/>
  <c r="AJ10" i="55"/>
  <c r="AJ39" i="31" s="1"/>
  <c r="AK10" i="55"/>
  <c r="AK39" i="31" s="1"/>
  <c r="Z10" i="55"/>
  <c r="Z39" i="31" s="1"/>
  <c r="O10" i="55"/>
  <c r="O39" i="31" s="1"/>
  <c r="P10" i="55"/>
  <c r="P39" i="31" s="1"/>
  <c r="Q10" i="55"/>
  <c r="Q39" i="31" s="1"/>
  <c r="R10" i="55"/>
  <c r="R39" i="31" s="1"/>
  <c r="S10" i="55"/>
  <c r="S39" i="31" s="1"/>
  <c r="T10" i="55"/>
  <c r="T39" i="31" s="1"/>
  <c r="U10" i="55"/>
  <c r="U39" i="31" s="1"/>
  <c r="V10" i="55"/>
  <c r="V39" i="31" s="1"/>
  <c r="W10" i="55"/>
  <c r="W39" i="31" s="1"/>
  <c r="X10" i="55"/>
  <c r="X39" i="31" s="1"/>
  <c r="Y10" i="55"/>
  <c r="Y39" i="31" s="1"/>
  <c r="N10" i="55"/>
  <c r="N39" i="31" s="1"/>
  <c r="C10" i="55"/>
  <c r="C39" i="31" s="1"/>
  <c r="D10" i="55"/>
  <c r="D39" i="31" s="1"/>
  <c r="E10" i="55"/>
  <c r="E39" i="31" s="1"/>
  <c r="F10" i="55"/>
  <c r="F39" i="31" s="1"/>
  <c r="G10" i="55"/>
  <c r="G39" i="31" s="1"/>
  <c r="H10" i="55"/>
  <c r="H39" i="31" s="1"/>
  <c r="I10" i="55"/>
  <c r="I39" i="31" s="1"/>
  <c r="J10" i="55"/>
  <c r="J39" i="31" s="1"/>
  <c r="K10" i="55"/>
  <c r="K39" i="31" s="1"/>
  <c r="L10" i="55"/>
  <c r="L39" i="31" s="1"/>
  <c r="M10" i="55"/>
  <c r="M39" i="31" s="1"/>
  <c r="B10" i="55"/>
  <c r="B39" i="31" s="1"/>
  <c r="E8" i="44"/>
  <c r="A11" i="55" s="1"/>
  <c r="A40" i="31" s="1"/>
  <c r="E11" i="44"/>
  <c r="A12" i="55" s="1"/>
  <c r="A42" i="31" s="1"/>
  <c r="E9" i="44"/>
  <c r="A13" i="55" s="1"/>
  <c r="A43" i="31" s="1"/>
  <c r="E12" i="44"/>
  <c r="A14" i="55" s="1"/>
  <c r="A41" i="31" s="1"/>
  <c r="E7" i="44"/>
  <c r="A10" i="55" s="1"/>
  <c r="A39" i="31" s="1"/>
  <c r="AW4" i="55"/>
  <c r="AW28" i="31" s="1"/>
  <c r="AV4" i="55"/>
  <c r="AV28" i="31" s="1"/>
  <c r="AU4" i="55"/>
  <c r="AU28" i="31" s="1"/>
  <c r="AT4" i="55"/>
  <c r="AT28" i="31" s="1"/>
  <c r="AS4" i="55"/>
  <c r="AS28" i="31" s="1"/>
  <c r="AR4" i="55"/>
  <c r="AR28" i="31" s="1"/>
  <c r="AQ4" i="55"/>
  <c r="AQ28" i="31" s="1"/>
  <c r="AP4" i="55"/>
  <c r="AP28" i="31" s="1"/>
  <c r="AO4" i="55"/>
  <c r="AO28" i="31" s="1"/>
  <c r="AN4" i="55"/>
  <c r="AN28" i="31" s="1"/>
  <c r="AM4" i="55"/>
  <c r="AM28" i="31" s="1"/>
  <c r="AL4" i="55"/>
  <c r="AL28" i="31" s="1"/>
  <c r="AK4" i="55"/>
  <c r="AK28" i="31" s="1"/>
  <c r="AJ4" i="55"/>
  <c r="AJ28" i="31" s="1"/>
  <c r="AI4" i="55"/>
  <c r="AI28" i="31" s="1"/>
  <c r="AH4" i="55"/>
  <c r="AH28" i="31" s="1"/>
  <c r="AG4" i="55"/>
  <c r="AG28" i="31" s="1"/>
  <c r="AF4" i="55"/>
  <c r="AF28" i="31" s="1"/>
  <c r="AE4" i="55"/>
  <c r="AE28" i="31" s="1"/>
  <c r="AD4" i="55"/>
  <c r="AD28" i="31" s="1"/>
  <c r="AC4" i="55"/>
  <c r="AC28" i="31" s="1"/>
  <c r="AB4" i="55"/>
  <c r="AB28" i="31" s="1"/>
  <c r="AA4" i="55"/>
  <c r="AA28" i="31" s="1"/>
  <c r="Z4" i="55"/>
  <c r="Z28" i="31" s="1"/>
  <c r="Y4" i="55"/>
  <c r="Y28" i="31" s="1"/>
  <c r="X4" i="55"/>
  <c r="X28" i="31" s="1"/>
  <c r="W4" i="55"/>
  <c r="W28" i="31" s="1"/>
  <c r="V4" i="55"/>
  <c r="V28" i="31" s="1"/>
  <c r="U4" i="55"/>
  <c r="U28" i="31" s="1"/>
  <c r="T4" i="55"/>
  <c r="T28" i="31" s="1"/>
  <c r="S4" i="55"/>
  <c r="S28" i="31" s="1"/>
  <c r="R4" i="55"/>
  <c r="R28" i="31" s="1"/>
  <c r="Q4" i="55"/>
  <c r="Q28" i="31" s="1"/>
  <c r="P4" i="55"/>
  <c r="P28" i="31" s="1"/>
  <c r="O4" i="55"/>
  <c r="O28" i="31" s="1"/>
  <c r="N4" i="55"/>
  <c r="N28" i="31" s="1"/>
  <c r="M4" i="55"/>
  <c r="M28" i="31" s="1"/>
  <c r="L4" i="55"/>
  <c r="L28" i="31" s="1"/>
  <c r="K4" i="55"/>
  <c r="K28" i="31" s="1"/>
  <c r="J4" i="55"/>
  <c r="J28" i="31" s="1"/>
  <c r="I4" i="55"/>
  <c r="I28" i="31" s="1"/>
  <c r="H4" i="55"/>
  <c r="H28" i="31" s="1"/>
  <c r="G4" i="55"/>
  <c r="G28" i="31" s="1"/>
  <c r="F4" i="55"/>
  <c r="F28" i="31" s="1"/>
  <c r="E4" i="55"/>
  <c r="E28" i="31" s="1"/>
  <c r="D4" i="55"/>
  <c r="D28" i="31" s="1"/>
  <c r="C4" i="55"/>
  <c r="C28" i="31" s="1"/>
  <c r="B4" i="55"/>
  <c r="C60" i="31" l="1"/>
  <c r="N81" i="44" s="1"/>
  <c r="D60" i="31"/>
  <c r="O81" i="44" s="1"/>
  <c r="E60" i="31"/>
  <c r="P81" i="44" s="1"/>
  <c r="AX4" i="55"/>
  <c r="B28" i="31"/>
  <c r="B60" i="31" s="1"/>
  <c r="M81" i="44" s="1"/>
  <c r="M72" i="44"/>
  <c r="C13" i="31"/>
  <c r="C26" i="31" s="1"/>
  <c r="Q81" i="44" l="1"/>
  <c r="N72" i="44"/>
  <c r="D13" i="31"/>
  <c r="D26" i="31" s="1"/>
  <c r="O72" i="44" l="1"/>
  <c r="E13" i="31"/>
  <c r="E26" i="31" s="1"/>
  <c r="B14" i="31"/>
  <c r="B27" i="31" s="1"/>
  <c r="J75" i="31"/>
  <c r="P72" i="44" l="1"/>
  <c r="C14" i="31"/>
  <c r="C27" i="31" s="1"/>
  <c r="F13" i="31"/>
  <c r="F26" i="31" s="1"/>
  <c r="B38" i="31"/>
  <c r="J72" i="31"/>
  <c r="L72" i="31" s="1"/>
  <c r="K72" i="31" l="1"/>
  <c r="G13" i="31"/>
  <c r="G26" i="31" s="1"/>
  <c r="D14" i="31"/>
  <c r="D27" i="31" s="1"/>
  <c r="C38" i="31"/>
  <c r="AM50" i="31"/>
  <c r="AN50" i="31"/>
  <c r="AO50" i="31"/>
  <c r="AP50" i="31"/>
  <c r="AQ50" i="31"/>
  <c r="AR50" i="31"/>
  <c r="AS50" i="31"/>
  <c r="AT50" i="31"/>
  <c r="AU50" i="31"/>
  <c r="AV50" i="31"/>
  <c r="AW50" i="31"/>
  <c r="AL50" i="31"/>
  <c r="AA50" i="31"/>
  <c r="AB50" i="31"/>
  <c r="AC50" i="31"/>
  <c r="AD50" i="31"/>
  <c r="AE50" i="31"/>
  <c r="AF50" i="31"/>
  <c r="AG50" i="31"/>
  <c r="AH50" i="31"/>
  <c r="AI50" i="31"/>
  <c r="AJ50" i="31"/>
  <c r="AK50" i="31"/>
  <c r="Z50" i="31"/>
  <c r="O50" i="31"/>
  <c r="P50" i="31"/>
  <c r="Q50" i="31"/>
  <c r="R50" i="31"/>
  <c r="S50" i="31"/>
  <c r="T50" i="31"/>
  <c r="U50" i="31"/>
  <c r="V50" i="31"/>
  <c r="W50" i="31"/>
  <c r="X50" i="31"/>
  <c r="Y50" i="31"/>
  <c r="N50" i="31"/>
  <c r="C50" i="31"/>
  <c r="D50" i="31"/>
  <c r="E50" i="31"/>
  <c r="F50" i="31"/>
  <c r="G50" i="31"/>
  <c r="H50" i="31"/>
  <c r="I50" i="31"/>
  <c r="J50" i="31"/>
  <c r="K50" i="31"/>
  <c r="L50" i="31"/>
  <c r="M50" i="31"/>
  <c r="B50" i="31"/>
  <c r="O72" i="31" l="1"/>
  <c r="N72" i="31"/>
  <c r="M72" i="31"/>
  <c r="E14" i="31"/>
  <c r="E27" i="31" s="1"/>
  <c r="H13" i="31"/>
  <c r="H26" i="31" s="1"/>
  <c r="D38" i="31"/>
  <c r="B72" i="31"/>
  <c r="C72" i="31"/>
  <c r="D72" i="31"/>
  <c r="E72" i="31"/>
  <c r="F23" i="30" l="1"/>
  <c r="H22" i="58"/>
  <c r="L23" i="30"/>
  <c r="N22" i="58"/>
  <c r="J23" i="30"/>
  <c r="L22" i="58"/>
  <c r="H23" i="30"/>
  <c r="J22" i="58"/>
  <c r="I13" i="31"/>
  <c r="I26" i="31" s="1"/>
  <c r="F14" i="31"/>
  <c r="F27" i="31" s="1"/>
  <c r="E38" i="31"/>
  <c r="L45" i="30"/>
  <c r="J48" i="30" s="1"/>
  <c r="L44" i="30"/>
  <c r="J47" i="30" s="1"/>
  <c r="G14" i="31" l="1"/>
  <c r="G27" i="31" s="1"/>
  <c r="J13" i="31"/>
  <c r="J26" i="31" s="1"/>
  <c r="F38" i="31"/>
  <c r="K48" i="30"/>
  <c r="K47" i="30"/>
  <c r="K13" i="31" l="1"/>
  <c r="K26" i="31" s="1"/>
  <c r="H14" i="31"/>
  <c r="H27" i="31" s="1"/>
  <c r="G38" i="31"/>
  <c r="AM48" i="31"/>
  <c r="AN48" i="31"/>
  <c r="AO48" i="31"/>
  <c r="AP48" i="31"/>
  <c r="AQ48" i="31"/>
  <c r="AR48" i="31"/>
  <c r="AS48" i="31"/>
  <c r="AT48" i="31"/>
  <c r="AU48" i="31"/>
  <c r="AV48" i="31"/>
  <c r="AW48" i="31"/>
  <c r="AL48" i="31"/>
  <c r="AA48" i="31"/>
  <c r="AB48" i="31"/>
  <c r="AC48" i="31"/>
  <c r="AD48" i="31"/>
  <c r="AE48" i="31"/>
  <c r="AF48" i="31"/>
  <c r="AG48" i="31"/>
  <c r="AH48" i="31"/>
  <c r="AI48" i="31"/>
  <c r="AJ48" i="31"/>
  <c r="AK48" i="31"/>
  <c r="Z48" i="31"/>
  <c r="O48" i="31"/>
  <c r="P48" i="31"/>
  <c r="Q48" i="31"/>
  <c r="R48" i="31"/>
  <c r="S48" i="31"/>
  <c r="T48" i="31"/>
  <c r="U48" i="31"/>
  <c r="V48" i="31"/>
  <c r="W48" i="31"/>
  <c r="X48" i="31"/>
  <c r="Y48" i="31"/>
  <c r="N48" i="31"/>
  <c r="I14" i="31" l="1"/>
  <c r="I27" i="31" s="1"/>
  <c r="L13" i="31"/>
  <c r="L26" i="31" s="1"/>
  <c r="H38" i="31"/>
  <c r="B48" i="31"/>
  <c r="M13" i="31" l="1"/>
  <c r="J14" i="31"/>
  <c r="J27" i="31" s="1"/>
  <c r="I38" i="31"/>
  <c r="J48" i="31"/>
  <c r="M48" i="31"/>
  <c r="I48" i="31"/>
  <c r="E48" i="31"/>
  <c r="L48" i="31"/>
  <c r="H48" i="31"/>
  <c r="D48" i="31"/>
  <c r="G48" i="31"/>
  <c r="C48" i="31"/>
  <c r="K48" i="31"/>
  <c r="F48" i="31"/>
  <c r="B4" i="31"/>
  <c r="M26" i="31" l="1"/>
  <c r="K14" i="31"/>
  <c r="K27" i="31" s="1"/>
  <c r="N13" i="31"/>
  <c r="N26" i="31" s="1"/>
  <c r="B8" i="31"/>
  <c r="B25" i="31" s="1"/>
  <c r="B7" i="31"/>
  <c r="J38" i="31"/>
  <c r="AX48" i="31"/>
  <c r="C4" i="31"/>
  <c r="H10" i="58"/>
  <c r="B24" i="31" l="1"/>
  <c r="B37" i="31" s="1"/>
  <c r="B21" i="31"/>
  <c r="B32" i="31" s="1"/>
  <c r="B20" i="31"/>
  <c r="B31" i="31" s="1"/>
  <c r="B35" i="31"/>
  <c r="B19" i="31"/>
  <c r="B30" i="31" s="1"/>
  <c r="O13" i="31"/>
  <c r="O26" i="31" s="1"/>
  <c r="L14" i="31"/>
  <c r="L27" i="31" s="1"/>
  <c r="C8" i="31"/>
  <c r="C25" i="31" s="1"/>
  <c r="C7" i="31"/>
  <c r="F9" i="30"/>
  <c r="K38" i="31"/>
  <c r="D4" i="31"/>
  <c r="C24" i="31" l="1"/>
  <c r="C35" i="31" s="1"/>
  <c r="C21" i="31"/>
  <c r="C32" i="31" s="1"/>
  <c r="B36" i="31"/>
  <c r="C20" i="31"/>
  <c r="C31" i="31" s="1"/>
  <c r="C36" i="31" s="1"/>
  <c r="C19" i="31"/>
  <c r="C30" i="31" s="1"/>
  <c r="M14" i="31"/>
  <c r="P13" i="31"/>
  <c r="P26" i="31" s="1"/>
  <c r="D8" i="31"/>
  <c r="D25" i="31" s="1"/>
  <c r="D7" i="31"/>
  <c r="L38" i="31"/>
  <c r="E4" i="31"/>
  <c r="C37" i="31" l="1"/>
  <c r="D24" i="31"/>
  <c r="D21" i="31"/>
  <c r="D32" i="31" s="1"/>
  <c r="M27" i="31"/>
  <c r="D20" i="31"/>
  <c r="D31" i="31" s="1"/>
  <c r="D36" i="31" s="1"/>
  <c r="D19" i="31"/>
  <c r="D30" i="31" s="1"/>
  <c r="Q13" i="31"/>
  <c r="Q26" i="31" s="1"/>
  <c r="N14" i="31"/>
  <c r="N27" i="31" s="1"/>
  <c r="E8" i="31"/>
  <c r="E25" i="31" s="1"/>
  <c r="E7" i="31"/>
  <c r="M38" i="31"/>
  <c r="B66" i="31" s="1"/>
  <c r="F4" i="31"/>
  <c r="H16" i="58" l="1"/>
  <c r="D35" i="31"/>
  <c r="D37" i="31"/>
  <c r="E24" i="31"/>
  <c r="E35" i="31" s="1"/>
  <c r="E21" i="31"/>
  <c r="E32" i="31" s="1"/>
  <c r="E20" i="31"/>
  <c r="E31" i="31" s="1"/>
  <c r="E19" i="31"/>
  <c r="E30" i="31" s="1"/>
  <c r="O14" i="31"/>
  <c r="O27" i="31" s="1"/>
  <c r="F14" i="30"/>
  <c r="R13" i="31"/>
  <c r="R26" i="31" s="1"/>
  <c r="F8" i="31"/>
  <c r="F25" i="31" s="1"/>
  <c r="F7" i="31"/>
  <c r="N38" i="31"/>
  <c r="G4" i="31"/>
  <c r="J23" i="44"/>
  <c r="F9" i="44" s="1"/>
  <c r="J9" i="44" l="1"/>
  <c r="G9" i="44"/>
  <c r="I9" i="44"/>
  <c r="E13" i="55"/>
  <c r="E43" i="31" s="1"/>
  <c r="I13" i="55"/>
  <c r="I43" i="31" s="1"/>
  <c r="M13" i="55"/>
  <c r="M43" i="31" s="1"/>
  <c r="B13" i="55"/>
  <c r="B43" i="31" s="1"/>
  <c r="F13" i="55"/>
  <c r="F43" i="31" s="1"/>
  <c r="J13" i="55"/>
  <c r="J43" i="31" s="1"/>
  <c r="C13" i="55"/>
  <c r="C43" i="31" s="1"/>
  <c r="G13" i="55"/>
  <c r="G43" i="31" s="1"/>
  <c r="K13" i="55"/>
  <c r="K43" i="31" s="1"/>
  <c r="D13" i="55"/>
  <c r="D43" i="31" s="1"/>
  <c r="H13" i="55"/>
  <c r="H43" i="31" s="1"/>
  <c r="L13" i="55"/>
  <c r="L43" i="31" s="1"/>
  <c r="J84" i="31"/>
  <c r="J73" i="31"/>
  <c r="J77" i="31" s="1"/>
  <c r="E36" i="31"/>
  <c r="E37" i="31"/>
  <c r="F24" i="31"/>
  <c r="F21" i="31"/>
  <c r="F32" i="31" s="1"/>
  <c r="F20" i="31"/>
  <c r="F31" i="31" s="1"/>
  <c r="F19" i="31"/>
  <c r="F30" i="31" s="1"/>
  <c r="S13" i="31"/>
  <c r="S26" i="31" s="1"/>
  <c r="P14" i="31"/>
  <c r="P27" i="31" s="1"/>
  <c r="G8" i="31"/>
  <c r="G25" i="31" s="1"/>
  <c r="G7" i="31"/>
  <c r="O38" i="31"/>
  <c r="H4" i="31"/>
  <c r="B52" i="39"/>
  <c r="AC13" i="55" l="1"/>
  <c r="AC43" i="31" s="1"/>
  <c r="AG13" i="55"/>
  <c r="AG43" i="31" s="1"/>
  <c r="AK13" i="55"/>
  <c r="AK43" i="31" s="1"/>
  <c r="AF13" i="55"/>
  <c r="AF43" i="31" s="1"/>
  <c r="Z13" i="55"/>
  <c r="Z43" i="31" s="1"/>
  <c r="AD13" i="55"/>
  <c r="AD43" i="31" s="1"/>
  <c r="AH13" i="55"/>
  <c r="AH43" i="31" s="1"/>
  <c r="AB13" i="55"/>
  <c r="AB43" i="31" s="1"/>
  <c r="AA13" i="55"/>
  <c r="AA43" i="31" s="1"/>
  <c r="AE13" i="55"/>
  <c r="AE43" i="31" s="1"/>
  <c r="AI13" i="55"/>
  <c r="AI43" i="31" s="1"/>
  <c r="AJ13" i="55"/>
  <c r="AJ43" i="31" s="1"/>
  <c r="Q13" i="55"/>
  <c r="Q43" i="31" s="1"/>
  <c r="U13" i="55"/>
  <c r="U43" i="31" s="1"/>
  <c r="Y13" i="55"/>
  <c r="Y43" i="31" s="1"/>
  <c r="P13" i="55"/>
  <c r="P43" i="31" s="1"/>
  <c r="N13" i="55"/>
  <c r="N43" i="31" s="1"/>
  <c r="R13" i="55"/>
  <c r="R43" i="31" s="1"/>
  <c r="V13" i="55"/>
  <c r="V43" i="31" s="1"/>
  <c r="O13" i="55"/>
  <c r="O43" i="31" s="1"/>
  <c r="S13" i="55"/>
  <c r="S43" i="31" s="1"/>
  <c r="W13" i="55"/>
  <c r="W43" i="31" s="1"/>
  <c r="T13" i="55"/>
  <c r="T43" i="31" s="1"/>
  <c r="X13" i="55"/>
  <c r="X43" i="31" s="1"/>
  <c r="AO13" i="55"/>
  <c r="AO43" i="31" s="1"/>
  <c r="AS13" i="55"/>
  <c r="AS43" i="31" s="1"/>
  <c r="AW13" i="55"/>
  <c r="AW43" i="31" s="1"/>
  <c r="AL13" i="55"/>
  <c r="AL43" i="31" s="1"/>
  <c r="AP13" i="55"/>
  <c r="AP43" i="31" s="1"/>
  <c r="AT13" i="55"/>
  <c r="AT43" i="31" s="1"/>
  <c r="AV13" i="55"/>
  <c r="AV43" i="31" s="1"/>
  <c r="AM13" i="55"/>
  <c r="AM43" i="31" s="1"/>
  <c r="AQ13" i="55"/>
  <c r="AQ43" i="31" s="1"/>
  <c r="AU13" i="55"/>
  <c r="AU43" i="31" s="1"/>
  <c r="AN13" i="55"/>
  <c r="AN43" i="31" s="1"/>
  <c r="AR13" i="55"/>
  <c r="AR43" i="31" s="1"/>
  <c r="B69" i="31"/>
  <c r="K73" i="31"/>
  <c r="K77" i="31" s="1"/>
  <c r="S45" i="31" s="1"/>
  <c r="L78" i="31"/>
  <c r="D35" i="59" s="1"/>
  <c r="B45" i="31"/>
  <c r="C45" i="31"/>
  <c r="K84" i="31"/>
  <c r="K88" i="31" s="1"/>
  <c r="J88" i="31"/>
  <c r="F37" i="31"/>
  <c r="F35" i="31"/>
  <c r="G24" i="31"/>
  <c r="G37" i="31" s="1"/>
  <c r="G21" i="31"/>
  <c r="G32" i="31" s="1"/>
  <c r="F36" i="31"/>
  <c r="G20" i="31"/>
  <c r="G31" i="31" s="1"/>
  <c r="G19" i="31"/>
  <c r="G30" i="31" s="1"/>
  <c r="Q14" i="31"/>
  <c r="Q27" i="31" s="1"/>
  <c r="T13" i="31"/>
  <c r="T26" i="31" s="1"/>
  <c r="H8" i="31"/>
  <c r="H25" i="31" s="1"/>
  <c r="H7" i="31"/>
  <c r="P38" i="31"/>
  <c r="D45" i="31"/>
  <c r="H45" i="31"/>
  <c r="L45" i="31"/>
  <c r="E45" i="31"/>
  <c r="I45" i="31"/>
  <c r="M45" i="31"/>
  <c r="G45" i="31"/>
  <c r="F45" i="31"/>
  <c r="J45" i="31"/>
  <c r="K45" i="31"/>
  <c r="I4" i="31"/>
  <c r="E69" i="31" l="1"/>
  <c r="C69" i="31"/>
  <c r="D69" i="31"/>
  <c r="F15" i="30"/>
  <c r="Q45" i="31"/>
  <c r="L89" i="31"/>
  <c r="B46" i="31"/>
  <c r="L46" i="31"/>
  <c r="J46" i="31"/>
  <c r="C46" i="31"/>
  <c r="M46" i="31"/>
  <c r="F46" i="31"/>
  <c r="G46" i="31"/>
  <c r="D46" i="31"/>
  <c r="E46" i="31"/>
  <c r="K46" i="31"/>
  <c r="H46" i="31"/>
  <c r="I46" i="31"/>
  <c r="V46" i="31"/>
  <c r="AP46" i="31"/>
  <c r="AM46" i="31"/>
  <c r="U46" i="31"/>
  <c r="X46" i="31"/>
  <c r="AG46" i="31"/>
  <c r="AJ46" i="31"/>
  <c r="AQ46" i="31"/>
  <c r="P46" i="31"/>
  <c r="AD46" i="31"/>
  <c r="AO46" i="31"/>
  <c r="AR46" i="31"/>
  <c r="AT46" i="31"/>
  <c r="AA46" i="31"/>
  <c r="AE46" i="31"/>
  <c r="Q46" i="31"/>
  <c r="T46" i="31"/>
  <c r="N46" i="31"/>
  <c r="AU46" i="31"/>
  <c r="Y46" i="31"/>
  <c r="AB46" i="31"/>
  <c r="R46" i="31"/>
  <c r="AH46" i="31"/>
  <c r="AL46" i="31"/>
  <c r="S46" i="31"/>
  <c r="AS46" i="31"/>
  <c r="AV46" i="31"/>
  <c r="O46" i="31"/>
  <c r="AI46" i="31"/>
  <c r="W46" i="31"/>
  <c r="AK46" i="31"/>
  <c r="AN46" i="31"/>
  <c r="AW46" i="31"/>
  <c r="Z46" i="31"/>
  <c r="AC46" i="31"/>
  <c r="AF46" i="31"/>
  <c r="T45" i="31"/>
  <c r="R45" i="31"/>
  <c r="P45" i="31"/>
  <c r="M78" i="31"/>
  <c r="E35" i="59" s="1"/>
  <c r="N45" i="31"/>
  <c r="O45" i="31"/>
  <c r="G36" i="31"/>
  <c r="G35" i="31"/>
  <c r="H24" i="31"/>
  <c r="H37" i="31" s="1"/>
  <c r="H21" i="31"/>
  <c r="H32" i="31" s="1"/>
  <c r="H20" i="31"/>
  <c r="H31" i="31" s="1"/>
  <c r="H19" i="31"/>
  <c r="H30" i="31" s="1"/>
  <c r="U13" i="31"/>
  <c r="U26" i="31" s="1"/>
  <c r="R14" i="31"/>
  <c r="R27" i="31" s="1"/>
  <c r="U45" i="31"/>
  <c r="I8" i="31"/>
  <c r="I25" i="31" s="1"/>
  <c r="I7" i="31"/>
  <c r="Q38" i="31"/>
  <c r="J4" i="31"/>
  <c r="L15" i="30" l="1"/>
  <c r="J15" i="30"/>
  <c r="H15" i="30"/>
  <c r="F69" i="31"/>
  <c r="B71" i="31"/>
  <c r="H21" i="58" s="1"/>
  <c r="D41" i="59"/>
  <c r="M89" i="31"/>
  <c r="N78" i="31"/>
  <c r="F35" i="59" s="1"/>
  <c r="H35" i="31"/>
  <c r="I24" i="31"/>
  <c r="I21" i="31"/>
  <c r="I32" i="31" s="1"/>
  <c r="H36" i="31"/>
  <c r="I20" i="31"/>
  <c r="I31" i="31" s="1"/>
  <c r="I36" i="31" s="1"/>
  <c r="I19" i="31"/>
  <c r="I30" i="31" s="1"/>
  <c r="S14" i="31"/>
  <c r="S27" i="31" s="1"/>
  <c r="V13" i="31"/>
  <c r="V26" i="31" s="1"/>
  <c r="V45" i="31"/>
  <c r="J8" i="31"/>
  <c r="J25" i="31" s="1"/>
  <c r="J7" i="31"/>
  <c r="R38" i="31"/>
  <c r="K4" i="31"/>
  <c r="E41" i="59" l="1"/>
  <c r="N89" i="31"/>
  <c r="O78" i="31"/>
  <c r="G35" i="59" s="1"/>
  <c r="I37" i="31"/>
  <c r="I35" i="31"/>
  <c r="J24" i="31"/>
  <c r="J35" i="31" s="1"/>
  <c r="J21" i="31"/>
  <c r="J32" i="31" s="1"/>
  <c r="J20" i="31"/>
  <c r="J31" i="31" s="1"/>
  <c r="J36" i="31" s="1"/>
  <c r="J19" i="31"/>
  <c r="J30" i="31" s="1"/>
  <c r="W13" i="31"/>
  <c r="W26" i="31" s="1"/>
  <c r="T14" i="31"/>
  <c r="T27" i="31" s="1"/>
  <c r="W45" i="31"/>
  <c r="K7" i="31"/>
  <c r="K8" i="31"/>
  <c r="K25" i="31" s="1"/>
  <c r="S38" i="31"/>
  <c r="L4" i="31"/>
  <c r="F41" i="59" l="1"/>
  <c r="O89" i="31"/>
  <c r="G41" i="59" s="1"/>
  <c r="J37" i="31"/>
  <c r="K24" i="31"/>
  <c r="K21" i="31"/>
  <c r="K32" i="31" s="1"/>
  <c r="K20" i="31"/>
  <c r="K31" i="31" s="1"/>
  <c r="K36" i="31" s="1"/>
  <c r="K19" i="31"/>
  <c r="K30" i="31" s="1"/>
  <c r="U14" i="31"/>
  <c r="U27" i="31" s="1"/>
  <c r="X13" i="31"/>
  <c r="X26" i="31" s="1"/>
  <c r="X45" i="31"/>
  <c r="L8" i="31"/>
  <c r="L25" i="31" s="1"/>
  <c r="L7" i="31"/>
  <c r="T38" i="31"/>
  <c r="M4" i="31"/>
  <c r="N4" i="31" s="1"/>
  <c r="K35" i="31" l="1"/>
  <c r="K37" i="31"/>
  <c r="L24" i="31"/>
  <c r="L21" i="31"/>
  <c r="L32" i="31" s="1"/>
  <c r="L20" i="31"/>
  <c r="L31" i="31" s="1"/>
  <c r="L36" i="31" s="1"/>
  <c r="L19" i="31"/>
  <c r="L30" i="31" s="1"/>
  <c r="Y13" i="31"/>
  <c r="V14" i="31"/>
  <c r="V27" i="31" s="1"/>
  <c r="M8" i="31"/>
  <c r="M25" i="31" s="1"/>
  <c r="M7" i="31"/>
  <c r="U38" i="31"/>
  <c r="Y45" i="31"/>
  <c r="M21" i="31" l="1"/>
  <c r="C57" i="52" s="1"/>
  <c r="L35" i="31"/>
  <c r="L37" i="31"/>
  <c r="M24" i="31"/>
  <c r="Y26" i="31"/>
  <c r="C54" i="52"/>
  <c r="M20" i="31"/>
  <c r="C71" i="31"/>
  <c r="M19" i="31"/>
  <c r="M73" i="44"/>
  <c r="W14" i="31"/>
  <c r="W27" i="31" s="1"/>
  <c r="Z13" i="31"/>
  <c r="Z26" i="31" s="1"/>
  <c r="N8" i="31"/>
  <c r="N25" i="31" s="1"/>
  <c r="N7" i="31"/>
  <c r="V38" i="31"/>
  <c r="Z45" i="31"/>
  <c r="J10" i="58"/>
  <c r="O4" i="31"/>
  <c r="M32" i="31" l="1"/>
  <c r="B63" i="31" s="1"/>
  <c r="M82" i="44" s="1"/>
  <c r="F11" i="44"/>
  <c r="B12" i="55" s="1"/>
  <c r="B42" i="31" s="1"/>
  <c r="J21" i="58"/>
  <c r="B59" i="31"/>
  <c r="M78" i="44" s="1"/>
  <c r="N24" i="31"/>
  <c r="N35" i="31" s="1"/>
  <c r="N21" i="31"/>
  <c r="N32" i="31" s="1"/>
  <c r="M35" i="31"/>
  <c r="M37" i="31"/>
  <c r="M31" i="31"/>
  <c r="M36" i="31" s="1"/>
  <c r="C56" i="52"/>
  <c r="N20" i="31"/>
  <c r="N31" i="31" s="1"/>
  <c r="N19" i="31"/>
  <c r="N30" i="31" s="1"/>
  <c r="M30" i="31"/>
  <c r="B61" i="31" s="1"/>
  <c r="O64" i="31" s="1"/>
  <c r="C55" i="52"/>
  <c r="AA13" i="31"/>
  <c r="AA26" i="31" s="1"/>
  <c r="X14" i="31"/>
  <c r="X27" i="31" s="1"/>
  <c r="O8" i="31"/>
  <c r="O25" i="31" s="1"/>
  <c r="O7" i="31"/>
  <c r="H9" i="30"/>
  <c r="W38" i="31"/>
  <c r="AA45" i="31"/>
  <c r="P4" i="31"/>
  <c r="L73" i="31" l="1"/>
  <c r="M80" i="44"/>
  <c r="M12" i="55"/>
  <c r="M42" i="31" s="1"/>
  <c r="M54" i="31" s="1"/>
  <c r="G12" i="55"/>
  <c r="G42" i="31" s="1"/>
  <c r="G54" i="31" s="1"/>
  <c r="C12" i="55"/>
  <c r="C42" i="31" s="1"/>
  <c r="C54" i="31" s="1"/>
  <c r="D12" i="55"/>
  <c r="D42" i="31" s="1"/>
  <c r="D54" i="31" s="1"/>
  <c r="E12" i="55"/>
  <c r="E42" i="31" s="1"/>
  <c r="E54" i="31" s="1"/>
  <c r="H12" i="55"/>
  <c r="H42" i="31" s="1"/>
  <c r="H54" i="31" s="1"/>
  <c r="I12" i="55"/>
  <c r="I42" i="31" s="1"/>
  <c r="I54" i="31" s="1"/>
  <c r="J12" i="55"/>
  <c r="J42" i="31" s="1"/>
  <c r="J54" i="31" s="1"/>
  <c r="L12" i="55"/>
  <c r="L42" i="31" s="1"/>
  <c r="L54" i="31" s="1"/>
  <c r="F10" i="30"/>
  <c r="K12" i="55"/>
  <c r="K42" i="31" s="1"/>
  <c r="K54" i="31" s="1"/>
  <c r="F12" i="55"/>
  <c r="F42" i="31" s="1"/>
  <c r="F54" i="31" s="1"/>
  <c r="N37" i="31"/>
  <c r="B67" i="31"/>
  <c r="M112" i="44" s="1"/>
  <c r="B54" i="31"/>
  <c r="O24" i="31"/>
  <c r="O37" i="31" s="1"/>
  <c r="O21" i="31"/>
  <c r="O32" i="31" s="1"/>
  <c r="B62" i="31"/>
  <c r="M79" i="44" s="1"/>
  <c r="O20" i="31"/>
  <c r="O31" i="31" s="1"/>
  <c r="O36" i="31" s="1"/>
  <c r="N36" i="31"/>
  <c r="B65" i="31"/>
  <c r="H15" i="58" s="1"/>
  <c r="H6" i="58"/>
  <c r="F6" i="30"/>
  <c r="H7" i="58"/>
  <c r="O19" i="31"/>
  <c r="O30" i="31" s="1"/>
  <c r="Y14" i="31"/>
  <c r="AB13" i="31"/>
  <c r="AB26" i="31" s="1"/>
  <c r="P8" i="31"/>
  <c r="P25" i="31" s="1"/>
  <c r="P7" i="31"/>
  <c r="X38" i="31"/>
  <c r="AB45" i="31"/>
  <c r="Q4" i="31"/>
  <c r="L84" i="31" l="1"/>
  <c r="M110" i="44"/>
  <c r="M111" i="44"/>
  <c r="M83" i="44"/>
  <c r="B68" i="31"/>
  <c r="H19" i="58"/>
  <c r="H26" i="58" s="1"/>
  <c r="O61" i="31"/>
  <c r="O62" i="31" s="1"/>
  <c r="F5" i="30"/>
  <c r="F26" i="30" s="1"/>
  <c r="O35" i="31"/>
  <c r="P24" i="31"/>
  <c r="P35" i="31" s="1"/>
  <c r="P21" i="31"/>
  <c r="P32" i="31" s="1"/>
  <c r="Y27" i="31"/>
  <c r="P20" i="31"/>
  <c r="P31" i="31" s="1"/>
  <c r="P36" i="31" s="1"/>
  <c r="F13" i="30"/>
  <c r="P19" i="31"/>
  <c r="P30" i="31" s="1"/>
  <c r="AC13" i="31"/>
  <c r="AC26" i="31" s="1"/>
  <c r="Z14" i="31"/>
  <c r="Z27" i="31" s="1"/>
  <c r="Q8" i="31"/>
  <c r="Q25" i="31" s="1"/>
  <c r="Q7" i="31"/>
  <c r="Y38" i="31"/>
  <c r="C66" i="31" s="1"/>
  <c r="AC45" i="31"/>
  <c r="R4" i="31"/>
  <c r="O67" i="31" l="1"/>
  <c r="L87" i="31" s="1"/>
  <c r="M113" i="44"/>
  <c r="M114" i="44" s="1"/>
  <c r="M115" i="44" s="1"/>
  <c r="F19" i="30"/>
  <c r="G19" i="30" s="1"/>
  <c r="F16" i="30"/>
  <c r="G16" i="30" s="1"/>
  <c r="G15" i="30"/>
  <c r="G10" i="30"/>
  <c r="P37" i="31"/>
  <c r="Q24" i="31"/>
  <c r="Q21" i="31"/>
  <c r="Q32" i="31" s="1"/>
  <c r="Q20" i="31"/>
  <c r="Q31" i="31" s="1"/>
  <c r="H14" i="30"/>
  <c r="J16" i="58"/>
  <c r="H25" i="58"/>
  <c r="Q19" i="31"/>
  <c r="Q30" i="31" s="1"/>
  <c r="AA14" i="31"/>
  <c r="AA27" i="31" s="1"/>
  <c r="AD13" i="31"/>
  <c r="AD26" i="31" s="1"/>
  <c r="R8" i="31"/>
  <c r="R25" i="31" s="1"/>
  <c r="R7" i="31"/>
  <c r="Z38" i="31"/>
  <c r="AD45" i="31"/>
  <c r="F18" i="30"/>
  <c r="S4" i="31"/>
  <c r="L76" i="31" l="1"/>
  <c r="F20" i="30"/>
  <c r="Q37" i="31"/>
  <c r="Q35" i="31"/>
  <c r="R24" i="31"/>
  <c r="R37" i="31" s="1"/>
  <c r="R21" i="31"/>
  <c r="R32" i="31" s="1"/>
  <c r="Q36" i="31"/>
  <c r="R20" i="31"/>
  <c r="R31" i="31" s="1"/>
  <c r="R36" i="31" s="1"/>
  <c r="I13" i="58"/>
  <c r="I5" i="58"/>
  <c r="I14" i="58"/>
  <c r="L38" i="58"/>
  <c r="L39" i="58" s="1"/>
  <c r="I4" i="58"/>
  <c r="M38" i="58"/>
  <c r="M39" i="58" s="1"/>
  <c r="H28" i="58"/>
  <c r="H30" i="58" s="1"/>
  <c r="I23" i="58"/>
  <c r="I19" i="58"/>
  <c r="I22" i="58"/>
  <c r="I10" i="58"/>
  <c r="I16" i="58"/>
  <c r="I21" i="58"/>
  <c r="I15" i="58"/>
  <c r="I6" i="58"/>
  <c r="I7" i="58"/>
  <c r="G24" i="30"/>
  <c r="G14" i="30"/>
  <c r="R19" i="31"/>
  <c r="R30" i="31" s="1"/>
  <c r="AE13" i="31"/>
  <c r="AE26" i="31" s="1"/>
  <c r="AB14" i="31"/>
  <c r="AB27" i="31" s="1"/>
  <c r="S7" i="31"/>
  <c r="S8" i="31"/>
  <c r="S25" i="31" s="1"/>
  <c r="AA38" i="31"/>
  <c r="AE45" i="31"/>
  <c r="T4" i="31"/>
  <c r="R35" i="31" l="1"/>
  <c r="S24" i="31"/>
  <c r="S35" i="31" s="1"/>
  <c r="S21" i="31"/>
  <c r="S32" i="31" s="1"/>
  <c r="S20" i="31"/>
  <c r="S31" i="31" s="1"/>
  <c r="S19" i="31"/>
  <c r="S30" i="31" s="1"/>
  <c r="AC14" i="31"/>
  <c r="AC27" i="31" s="1"/>
  <c r="AF13" i="31"/>
  <c r="AF26" i="31" s="1"/>
  <c r="T8" i="31"/>
  <c r="T25" i="31" s="1"/>
  <c r="T7" i="31"/>
  <c r="AB38" i="31"/>
  <c r="AF45" i="31"/>
  <c r="U4" i="31"/>
  <c r="S37" i="31" l="1"/>
  <c r="T24" i="31"/>
  <c r="T21" i="31"/>
  <c r="T32" i="31" s="1"/>
  <c r="T20" i="31"/>
  <c r="T31" i="31" s="1"/>
  <c r="T36" i="31" s="1"/>
  <c r="S36" i="31"/>
  <c r="T19" i="31"/>
  <c r="T30" i="31" s="1"/>
  <c r="AG13" i="31"/>
  <c r="AG26" i="31" s="1"/>
  <c r="AD14" i="31"/>
  <c r="AD27" i="31" s="1"/>
  <c r="U8" i="31"/>
  <c r="U25" i="31" s="1"/>
  <c r="U7" i="31"/>
  <c r="AC38" i="31"/>
  <c r="AG45" i="31"/>
  <c r="V4" i="31"/>
  <c r="T35" i="31" l="1"/>
  <c r="T37" i="31"/>
  <c r="U24" i="31"/>
  <c r="U35" i="31" s="1"/>
  <c r="U21" i="31"/>
  <c r="U32" i="31" s="1"/>
  <c r="U20" i="31"/>
  <c r="U31" i="31" s="1"/>
  <c r="U19" i="31"/>
  <c r="U30" i="31" s="1"/>
  <c r="AE14" i="31"/>
  <c r="AE27" i="31" s="1"/>
  <c r="AH13" i="31"/>
  <c r="AH26" i="31" s="1"/>
  <c r="V8" i="31"/>
  <c r="V25" i="31" s="1"/>
  <c r="V7" i="31"/>
  <c r="AD38" i="31"/>
  <c r="AH45" i="31"/>
  <c r="W4" i="31"/>
  <c r="U37" i="31" l="1"/>
  <c r="V24" i="31"/>
  <c r="V35" i="31" s="1"/>
  <c r="V21" i="31"/>
  <c r="V32" i="31" s="1"/>
  <c r="V20" i="31"/>
  <c r="V31" i="31" s="1"/>
  <c r="V36" i="31" s="1"/>
  <c r="U36" i="31"/>
  <c r="V19" i="31"/>
  <c r="V30" i="31" s="1"/>
  <c r="AI13" i="31"/>
  <c r="AI26" i="31" s="1"/>
  <c r="AF14" i="31"/>
  <c r="AF27" i="31" s="1"/>
  <c r="W8" i="31"/>
  <c r="W25" i="31" s="1"/>
  <c r="W7" i="31"/>
  <c r="AE38" i="31"/>
  <c r="AI45" i="31"/>
  <c r="X4" i="31"/>
  <c r="V37" i="31" l="1"/>
  <c r="W24" i="31"/>
  <c r="W21" i="31"/>
  <c r="W32" i="31" s="1"/>
  <c r="W20" i="31"/>
  <c r="W31" i="31" s="1"/>
  <c r="W36" i="31" s="1"/>
  <c r="W19" i="31"/>
  <c r="W30" i="31" s="1"/>
  <c r="AG14" i="31"/>
  <c r="AG27" i="31" s="1"/>
  <c r="AJ13" i="31"/>
  <c r="AJ26" i="31" s="1"/>
  <c r="X8" i="31"/>
  <c r="X25" i="31" s="1"/>
  <c r="X7" i="31"/>
  <c r="AF38" i="31"/>
  <c r="AJ45" i="31"/>
  <c r="Y4" i="31"/>
  <c r="W37" i="31" l="1"/>
  <c r="W35" i="31"/>
  <c r="X24" i="31"/>
  <c r="X37" i="31" s="1"/>
  <c r="X21" i="31"/>
  <c r="X32" i="31" s="1"/>
  <c r="X20" i="31"/>
  <c r="X31" i="31" s="1"/>
  <c r="X36" i="31" s="1"/>
  <c r="X19" i="31"/>
  <c r="X30" i="31" s="1"/>
  <c r="AK13" i="31"/>
  <c r="AH14" i="31"/>
  <c r="AH27" i="31" s="1"/>
  <c r="Y8" i="31"/>
  <c r="Y25" i="31" s="1"/>
  <c r="Y7" i="31"/>
  <c r="AG38" i="31"/>
  <c r="AK45" i="31"/>
  <c r="Z4" i="31"/>
  <c r="Y21" i="31" l="1"/>
  <c r="X35" i="31"/>
  <c r="Y24" i="31"/>
  <c r="C59" i="31" s="1"/>
  <c r="N78" i="44" s="1"/>
  <c r="AK26" i="31"/>
  <c r="Y20" i="31"/>
  <c r="D54" i="52"/>
  <c r="D71" i="31"/>
  <c r="Y19" i="31"/>
  <c r="N73" i="44"/>
  <c r="AI14" i="31"/>
  <c r="AI27" i="31" s="1"/>
  <c r="AL13" i="31"/>
  <c r="AL26" i="31" s="1"/>
  <c r="Z8" i="31"/>
  <c r="Z25" i="31" s="1"/>
  <c r="Z7" i="31"/>
  <c r="AH38" i="31"/>
  <c r="AL45" i="31"/>
  <c r="L10" i="58"/>
  <c r="AA4" i="31"/>
  <c r="L21" i="58" l="1"/>
  <c r="Y32" i="31"/>
  <c r="C63" i="31" s="1"/>
  <c r="D57" i="52"/>
  <c r="G11" i="44"/>
  <c r="T12" i="55" s="1"/>
  <c r="T42" i="31" s="1"/>
  <c r="T54" i="31" s="1"/>
  <c r="Z24" i="31"/>
  <c r="Z35" i="31" s="1"/>
  <c r="Z21" i="31"/>
  <c r="Z32" i="31" s="1"/>
  <c r="Y35" i="31"/>
  <c r="Y37" i="31"/>
  <c r="Y31" i="31"/>
  <c r="Y36" i="31" s="1"/>
  <c r="D56" i="52"/>
  <c r="Z20" i="31"/>
  <c r="Z31" i="31" s="1"/>
  <c r="Y30" i="31"/>
  <c r="C61" i="31" s="1"/>
  <c r="P64" i="31" s="1"/>
  <c r="D55" i="52"/>
  <c r="Z19" i="31"/>
  <c r="Z30" i="31" s="1"/>
  <c r="AM13" i="31"/>
  <c r="AM26" i="31" s="1"/>
  <c r="AJ14" i="31"/>
  <c r="AJ27" i="31" s="1"/>
  <c r="AA8" i="31"/>
  <c r="AA25" i="31" s="1"/>
  <c r="AA7" i="31"/>
  <c r="J9" i="30"/>
  <c r="AI38" i="31"/>
  <c r="AM45" i="31"/>
  <c r="AB4" i="31"/>
  <c r="M73" i="31" l="1"/>
  <c r="N80" i="44"/>
  <c r="H10" i="30"/>
  <c r="N82" i="44"/>
  <c r="O12" i="55"/>
  <c r="O42" i="31" s="1"/>
  <c r="O54" i="31" s="1"/>
  <c r="N12" i="55"/>
  <c r="N42" i="31" s="1"/>
  <c r="N54" i="31" s="1"/>
  <c r="W12" i="55"/>
  <c r="W42" i="31" s="1"/>
  <c r="W54" i="31" s="1"/>
  <c r="R12" i="55"/>
  <c r="R42" i="31" s="1"/>
  <c r="R54" i="31" s="1"/>
  <c r="U12" i="55"/>
  <c r="U42" i="31" s="1"/>
  <c r="U54" i="31" s="1"/>
  <c r="X12" i="55"/>
  <c r="X42" i="31" s="1"/>
  <c r="X54" i="31" s="1"/>
  <c r="Y12" i="55"/>
  <c r="Y42" i="31" s="1"/>
  <c r="Y54" i="31" s="1"/>
  <c r="S12" i="55"/>
  <c r="S42" i="31" s="1"/>
  <c r="S54" i="31" s="1"/>
  <c r="Q12" i="55"/>
  <c r="Q42" i="31" s="1"/>
  <c r="Q54" i="31" s="1"/>
  <c r="V12" i="55"/>
  <c r="V42" i="31" s="1"/>
  <c r="V54" i="31" s="1"/>
  <c r="P12" i="55"/>
  <c r="P42" i="31" s="1"/>
  <c r="P54" i="31" s="1"/>
  <c r="Z37" i="31"/>
  <c r="AA24" i="31"/>
  <c r="AA37" i="31" s="1"/>
  <c r="AA21" i="31"/>
  <c r="AA32" i="31" s="1"/>
  <c r="C67" i="31"/>
  <c r="C62" i="31"/>
  <c r="N79" i="44" s="1"/>
  <c r="Z36" i="31"/>
  <c r="AA20" i="31"/>
  <c r="AA31" i="31" s="1"/>
  <c r="AA36" i="31" s="1"/>
  <c r="C65" i="31"/>
  <c r="H13" i="30" s="1"/>
  <c r="H6" i="30"/>
  <c r="J7" i="58"/>
  <c r="J6" i="58"/>
  <c r="AA19" i="31"/>
  <c r="AA30" i="31" s="1"/>
  <c r="AK14" i="31"/>
  <c r="AN13" i="31"/>
  <c r="AN26" i="31" s="1"/>
  <c r="AB8" i="31"/>
  <c r="AB25" i="31" s="1"/>
  <c r="AB7" i="31"/>
  <c r="AJ38" i="31"/>
  <c r="AN45" i="31"/>
  <c r="AC4" i="31"/>
  <c r="M84" i="31" l="1"/>
  <c r="N110" i="44"/>
  <c r="N111" i="44"/>
  <c r="P61" i="31"/>
  <c r="P62" i="31" s="1"/>
  <c r="N112" i="44"/>
  <c r="N83" i="44"/>
  <c r="C68" i="31"/>
  <c r="N113" i="44" s="1"/>
  <c r="H5" i="30"/>
  <c r="H26" i="30" s="1"/>
  <c r="I10" i="30" s="1"/>
  <c r="AA35" i="31"/>
  <c r="AB24" i="31"/>
  <c r="AB21" i="31"/>
  <c r="AB32" i="31" s="1"/>
  <c r="J19" i="58"/>
  <c r="H18" i="30"/>
  <c r="AK27" i="31"/>
  <c r="AB20" i="31"/>
  <c r="AB31" i="31" s="1"/>
  <c r="AB36" i="31" s="1"/>
  <c r="J15" i="58"/>
  <c r="J25" i="58"/>
  <c r="K6" i="58" s="1"/>
  <c r="AB19" i="31"/>
  <c r="AB30" i="31" s="1"/>
  <c r="AO13" i="31"/>
  <c r="AO26" i="31" s="1"/>
  <c r="AL14" i="31"/>
  <c r="AL27" i="31" s="1"/>
  <c r="AC8" i="31"/>
  <c r="AC25" i="31" s="1"/>
  <c r="AC7" i="31"/>
  <c r="AK38" i="31"/>
  <c r="D66" i="31" s="1"/>
  <c r="AO45" i="31"/>
  <c r="AD4" i="31"/>
  <c r="N114" i="44" l="1"/>
  <c r="N115" i="44" s="1"/>
  <c r="P67" i="31"/>
  <c r="M76" i="31" s="1"/>
  <c r="M77" i="31" s="1"/>
  <c r="H16" i="30"/>
  <c r="I16" i="30" s="1"/>
  <c r="H19" i="30"/>
  <c r="H20" i="30" s="1"/>
  <c r="L16" i="58"/>
  <c r="AB35" i="31"/>
  <c r="AB37" i="31"/>
  <c r="AC24" i="31"/>
  <c r="AC35" i="31" s="1"/>
  <c r="AC21" i="31"/>
  <c r="AC32" i="31" s="1"/>
  <c r="J26" i="58"/>
  <c r="J28" i="58" s="1"/>
  <c r="J30" i="58" s="1"/>
  <c r="AC20" i="31"/>
  <c r="AC31" i="31" s="1"/>
  <c r="AC36" i="31" s="1"/>
  <c r="I24" i="30"/>
  <c r="I15" i="30"/>
  <c r="K7" i="58"/>
  <c r="I14" i="30"/>
  <c r="K10" i="58"/>
  <c r="K14" i="58"/>
  <c r="K4" i="58"/>
  <c r="K5" i="58"/>
  <c r="K13" i="58"/>
  <c r="K23" i="58"/>
  <c r="K22" i="58"/>
  <c r="K19" i="58"/>
  <c r="K21" i="58"/>
  <c r="K16" i="58"/>
  <c r="K15" i="58"/>
  <c r="AC19" i="31"/>
  <c r="AC30" i="31" s="1"/>
  <c r="AM14" i="31"/>
  <c r="AM27" i="31" s="1"/>
  <c r="AP13" i="31"/>
  <c r="AP26" i="31" s="1"/>
  <c r="AD8" i="31"/>
  <c r="AD25" i="31" s="1"/>
  <c r="AD7" i="31"/>
  <c r="J14" i="30"/>
  <c r="AL38" i="31"/>
  <c r="AP45" i="31"/>
  <c r="AE4" i="31"/>
  <c r="M87" i="31" l="1"/>
  <c r="M88" i="31" s="1"/>
  <c r="I19" i="30"/>
  <c r="AC37" i="31"/>
  <c r="AD24" i="31"/>
  <c r="AD21" i="31"/>
  <c r="AD32" i="31" s="1"/>
  <c r="AD20" i="31"/>
  <c r="AD31" i="31" s="1"/>
  <c r="AD19" i="31"/>
  <c r="AD30" i="31" s="1"/>
  <c r="AN14" i="31"/>
  <c r="AN27" i="31" s="1"/>
  <c r="AQ13" i="31"/>
  <c r="AQ26" i="31" s="1"/>
  <c r="AE8" i="31"/>
  <c r="AE25" i="31" s="1"/>
  <c r="AE7" i="31"/>
  <c r="AM38" i="31"/>
  <c r="AQ45" i="31"/>
  <c r="AF4" i="31"/>
  <c r="AD37" i="31" l="1"/>
  <c r="AD35" i="31"/>
  <c r="AE24" i="31"/>
  <c r="AE21" i="31"/>
  <c r="AE32" i="31" s="1"/>
  <c r="AE20" i="31"/>
  <c r="AE31" i="31" s="1"/>
  <c r="AE36" i="31" s="1"/>
  <c r="AD36" i="31"/>
  <c r="AE19" i="31"/>
  <c r="AE30" i="31" s="1"/>
  <c r="AR13" i="31"/>
  <c r="AR26" i="31" s="1"/>
  <c r="AO14" i="31"/>
  <c r="AO27" i="31" s="1"/>
  <c r="AF8" i="31"/>
  <c r="AF25" i="31" s="1"/>
  <c r="AF7" i="31"/>
  <c r="AN38" i="31"/>
  <c r="AR45" i="31"/>
  <c r="AG4" i="31"/>
  <c r="AE37" i="31" l="1"/>
  <c r="AE35" i="31"/>
  <c r="AF24" i="31"/>
  <c r="AF37" i="31" s="1"/>
  <c r="AF21" i="31"/>
  <c r="AF32" i="31" s="1"/>
  <c r="AF20" i="31"/>
  <c r="AF31" i="31" s="1"/>
  <c r="AF19" i="31"/>
  <c r="AF30" i="31" s="1"/>
  <c r="AP14" i="31"/>
  <c r="AP27" i="31" s="1"/>
  <c r="AS13" i="31"/>
  <c r="AS26" i="31" s="1"/>
  <c r="AG8" i="31"/>
  <c r="AG25" i="31" s="1"/>
  <c r="AG7" i="31"/>
  <c r="AO38" i="31"/>
  <c r="AS45" i="31"/>
  <c r="AH4" i="31"/>
  <c r="AF35" i="31" l="1"/>
  <c r="AG24" i="31"/>
  <c r="AG37" i="31" s="1"/>
  <c r="AG21" i="31"/>
  <c r="AG32" i="31" s="1"/>
  <c r="AG20" i="31"/>
  <c r="AG31" i="31" s="1"/>
  <c r="AG36" i="31" s="1"/>
  <c r="AF36" i="31"/>
  <c r="AG19" i="31"/>
  <c r="AG30" i="31" s="1"/>
  <c r="AT13" i="31"/>
  <c r="AT26" i="31" s="1"/>
  <c r="AQ14" i="31"/>
  <c r="AQ27" i="31" s="1"/>
  <c r="AH8" i="31"/>
  <c r="AH25" i="31" s="1"/>
  <c r="AH7" i="31"/>
  <c r="AP38" i="31"/>
  <c r="AT45" i="31"/>
  <c r="AI4" i="31"/>
  <c r="AG35" i="31" l="1"/>
  <c r="AH24" i="31"/>
  <c r="AH21" i="31"/>
  <c r="AH32" i="31" s="1"/>
  <c r="AH20" i="31"/>
  <c r="AH31" i="31" s="1"/>
  <c r="AH36" i="31" s="1"/>
  <c r="AH19" i="31"/>
  <c r="AH30" i="31" s="1"/>
  <c r="AR14" i="31"/>
  <c r="AR27" i="31" s="1"/>
  <c r="AU13" i="31"/>
  <c r="AU26" i="31" s="1"/>
  <c r="AI8" i="31"/>
  <c r="AI25" i="31" s="1"/>
  <c r="AI7" i="31"/>
  <c r="AQ38" i="31"/>
  <c r="AU45" i="31"/>
  <c r="AJ4" i="31"/>
  <c r="AH35" i="31" l="1"/>
  <c r="AH37" i="31"/>
  <c r="AI24" i="31"/>
  <c r="AI37" i="31" s="1"/>
  <c r="AI21" i="31"/>
  <c r="AI32" i="31" s="1"/>
  <c r="AI20" i="31"/>
  <c r="AI31" i="31" s="1"/>
  <c r="AI36" i="31" s="1"/>
  <c r="AI19" i="31"/>
  <c r="AI30" i="31" s="1"/>
  <c r="AV13" i="31"/>
  <c r="AV26" i="31" s="1"/>
  <c r="AS14" i="31"/>
  <c r="AS27" i="31" s="1"/>
  <c r="AJ8" i="31"/>
  <c r="AJ25" i="31" s="1"/>
  <c r="AJ7" i="31"/>
  <c r="AR38" i="31"/>
  <c r="AV45" i="31"/>
  <c r="AK4" i="31"/>
  <c r="AI35" i="31" l="1"/>
  <c r="AJ24" i="31"/>
  <c r="AJ35" i="31" s="1"/>
  <c r="AJ21" i="31"/>
  <c r="AJ32" i="31" s="1"/>
  <c r="AJ20" i="31"/>
  <c r="AJ31" i="31" s="1"/>
  <c r="AJ36" i="31" s="1"/>
  <c r="AJ19" i="31"/>
  <c r="AJ30" i="31" s="1"/>
  <c r="AT14" i="31"/>
  <c r="AT27" i="31" s="1"/>
  <c r="AW13" i="31"/>
  <c r="AK8" i="31"/>
  <c r="AK25" i="31" s="1"/>
  <c r="AK7" i="31"/>
  <c r="AS38" i="31"/>
  <c r="AW45" i="31"/>
  <c r="AL4" i="31"/>
  <c r="AK21" i="31" l="1"/>
  <c r="AJ37" i="31"/>
  <c r="AK24" i="31"/>
  <c r="D59" i="31" s="1"/>
  <c r="O78" i="44" s="1"/>
  <c r="AW26" i="31"/>
  <c r="AX13" i="31"/>
  <c r="AK20" i="31"/>
  <c r="E54" i="52"/>
  <c r="E71" i="31"/>
  <c r="AK19" i="31"/>
  <c r="O73" i="44"/>
  <c r="AU14" i="31"/>
  <c r="AU27" i="31" s="1"/>
  <c r="AL8" i="31"/>
  <c r="AL25" i="31" s="1"/>
  <c r="AL7" i="31"/>
  <c r="AT38" i="31"/>
  <c r="AX29" i="31"/>
  <c r="AM4" i="31"/>
  <c r="N21" i="58" l="1"/>
  <c r="F71" i="31"/>
  <c r="J92" i="31" s="1"/>
  <c r="I11" i="44"/>
  <c r="AB12" i="55" s="1"/>
  <c r="AB42" i="31" s="1"/>
  <c r="AB54" i="31" s="1"/>
  <c r="E57" i="52"/>
  <c r="AK32" i="31"/>
  <c r="D63" i="31" s="1"/>
  <c r="O82" i="44" s="1"/>
  <c r="AL24" i="31"/>
  <c r="AL21" i="31"/>
  <c r="AL32" i="31" s="1"/>
  <c r="AK35" i="31"/>
  <c r="AK37" i="31"/>
  <c r="N10" i="58"/>
  <c r="AL20" i="31"/>
  <c r="AL31" i="31" s="1"/>
  <c r="AL36" i="31" s="1"/>
  <c r="AK31" i="31"/>
  <c r="AK36" i="31" s="1"/>
  <c r="E56" i="52"/>
  <c r="AK30" i="31"/>
  <c r="D61" i="31" s="1"/>
  <c r="Q64" i="31" s="1"/>
  <c r="E55" i="52"/>
  <c r="AL19" i="31"/>
  <c r="AL30" i="31" s="1"/>
  <c r="AV14" i="31"/>
  <c r="AV27" i="31" s="1"/>
  <c r="AM8" i="31"/>
  <c r="AM25" i="31" s="1"/>
  <c r="AM7" i="31"/>
  <c r="F60" i="31"/>
  <c r="AU38" i="31"/>
  <c r="L9" i="30"/>
  <c r="C7" i="56" s="1"/>
  <c r="AN4" i="31"/>
  <c r="N84" i="31" l="1"/>
  <c r="O80" i="44"/>
  <c r="AK12" i="55"/>
  <c r="AK42" i="31" s="1"/>
  <c r="AK54" i="31" s="1"/>
  <c r="AA12" i="55"/>
  <c r="AA42" i="31" s="1"/>
  <c r="AA54" i="31" s="1"/>
  <c r="AF12" i="55"/>
  <c r="AF42" i="31" s="1"/>
  <c r="AF54" i="31" s="1"/>
  <c r="AC12" i="55"/>
  <c r="AC42" i="31" s="1"/>
  <c r="AC54" i="31" s="1"/>
  <c r="AG12" i="55"/>
  <c r="AG42" i="31" s="1"/>
  <c r="AG54" i="31" s="1"/>
  <c r="AJ12" i="55"/>
  <c r="AJ42" i="31" s="1"/>
  <c r="AJ54" i="31" s="1"/>
  <c r="AI12" i="55"/>
  <c r="AI42" i="31" s="1"/>
  <c r="AI54" i="31" s="1"/>
  <c r="AE12" i="55"/>
  <c r="AE42" i="31" s="1"/>
  <c r="AE54" i="31" s="1"/>
  <c r="AH12" i="55"/>
  <c r="AH42" i="31" s="1"/>
  <c r="AH54" i="31" s="1"/>
  <c r="AD12" i="55"/>
  <c r="AD42" i="31" s="1"/>
  <c r="AD54" i="31" s="1"/>
  <c r="Z12" i="55"/>
  <c r="Z42" i="31" s="1"/>
  <c r="Z54" i="31" s="1"/>
  <c r="J10" i="30"/>
  <c r="AL37" i="31"/>
  <c r="AL35" i="31"/>
  <c r="AM24" i="31"/>
  <c r="AM37" i="31" s="1"/>
  <c r="AM21" i="31"/>
  <c r="AM32" i="31" s="1"/>
  <c r="D67" i="31"/>
  <c r="D62" i="31"/>
  <c r="O79" i="44" s="1"/>
  <c r="AM20" i="31"/>
  <c r="AM31" i="31" s="1"/>
  <c r="AM36" i="31" s="1"/>
  <c r="D65" i="31"/>
  <c r="J13" i="30" s="1"/>
  <c r="L6" i="58"/>
  <c r="J6" i="30"/>
  <c r="L7" i="58"/>
  <c r="AM19" i="31"/>
  <c r="AM30" i="31" s="1"/>
  <c r="AW14" i="31"/>
  <c r="AN7" i="31"/>
  <c r="AN8" i="31"/>
  <c r="AN25" i="31" s="1"/>
  <c r="AW38" i="31"/>
  <c r="AV38" i="31"/>
  <c r="AO4" i="31"/>
  <c r="N73" i="31" l="1"/>
  <c r="O83" i="44"/>
  <c r="O110" i="44"/>
  <c r="O111" i="44"/>
  <c r="Q61" i="31"/>
  <c r="Q62" i="31" s="1"/>
  <c r="O112" i="44"/>
  <c r="D68" i="31"/>
  <c r="O113" i="44" s="1"/>
  <c r="J5" i="30"/>
  <c r="J26" i="30" s="1"/>
  <c r="AM35" i="31"/>
  <c r="AN24" i="31"/>
  <c r="AN35" i="31" s="1"/>
  <c r="AN21" i="31"/>
  <c r="AN32" i="31" s="1"/>
  <c r="L19" i="58"/>
  <c r="J18" i="30"/>
  <c r="AW27" i="31"/>
  <c r="AX14" i="31"/>
  <c r="AN20" i="31"/>
  <c r="AN31" i="31" s="1"/>
  <c r="L15" i="58"/>
  <c r="L25" i="58"/>
  <c r="M6" i="58" s="1"/>
  <c r="AN19" i="31"/>
  <c r="AN30" i="31" s="1"/>
  <c r="AO8" i="31"/>
  <c r="AO25" i="31" s="1"/>
  <c r="AO7" i="31"/>
  <c r="E66" i="31"/>
  <c r="AP4" i="31"/>
  <c r="O114" i="44" l="1"/>
  <c r="O115" i="44" s="1"/>
  <c r="Q67" i="31"/>
  <c r="N76" i="31" s="1"/>
  <c r="N77" i="31" s="1"/>
  <c r="J16" i="30"/>
  <c r="J19" i="30"/>
  <c r="J20" i="30" s="1"/>
  <c r="AN37" i="31"/>
  <c r="N16" i="58"/>
  <c r="F66" i="31"/>
  <c r="K15" i="30"/>
  <c r="K10" i="30"/>
  <c r="AO24" i="31"/>
  <c r="AO35" i="31" s="1"/>
  <c r="AO21" i="31"/>
  <c r="AO32" i="31" s="1"/>
  <c r="L26" i="58"/>
  <c r="L28" i="58" s="1"/>
  <c r="L30" i="58" s="1"/>
  <c r="AN36" i="31"/>
  <c r="AO20" i="31"/>
  <c r="AO31" i="31" s="1"/>
  <c r="AO36" i="31" s="1"/>
  <c r="M4" i="58"/>
  <c r="M14" i="58"/>
  <c r="M13" i="58"/>
  <c r="M5" i="58"/>
  <c r="M23" i="58"/>
  <c r="M22" i="58"/>
  <c r="M19" i="58"/>
  <c r="M21" i="58"/>
  <c r="M10" i="58"/>
  <c r="M16" i="58"/>
  <c r="M15" i="58"/>
  <c r="K24" i="30"/>
  <c r="M7" i="58"/>
  <c r="AO19" i="31"/>
  <c r="AO30" i="31" s="1"/>
  <c r="D6" i="56"/>
  <c r="C6" i="56"/>
  <c r="AP8" i="31"/>
  <c r="AP25" i="31" s="1"/>
  <c r="AP7" i="31"/>
  <c r="L14" i="30"/>
  <c r="B76" i="31"/>
  <c r="AQ4" i="31"/>
  <c r="N87" i="31" l="1"/>
  <c r="N88" i="31" s="1"/>
  <c r="K19" i="30"/>
  <c r="AO37" i="31"/>
  <c r="AP24" i="31"/>
  <c r="AP37" i="31" s="1"/>
  <c r="AP21" i="31"/>
  <c r="AP32" i="31" s="1"/>
  <c r="AP20" i="31"/>
  <c r="AP31" i="31" s="1"/>
  <c r="AP36" i="31" s="1"/>
  <c r="K14" i="30"/>
  <c r="F6" i="56"/>
  <c r="G6" i="56" s="1"/>
  <c r="AP19" i="31"/>
  <c r="AP30" i="31" s="1"/>
  <c r="AQ7" i="31"/>
  <c r="AQ8" i="31"/>
  <c r="AQ25" i="31" s="1"/>
  <c r="AR4" i="31"/>
  <c r="AP35" i="31" l="1"/>
  <c r="AQ24" i="31"/>
  <c r="AQ21" i="31"/>
  <c r="AQ32" i="31" s="1"/>
  <c r="AQ20" i="31"/>
  <c r="AQ31" i="31" s="1"/>
  <c r="AQ19" i="31"/>
  <c r="AQ30" i="31" s="1"/>
  <c r="AR8" i="31"/>
  <c r="AR25" i="31" s="1"/>
  <c r="AR7" i="31"/>
  <c r="AS4" i="31"/>
  <c r="AQ35" i="31" l="1"/>
  <c r="AQ37" i="31"/>
  <c r="AR24" i="31"/>
  <c r="AR37" i="31" s="1"/>
  <c r="AR21" i="31"/>
  <c r="AR32" i="31" s="1"/>
  <c r="AR20" i="31"/>
  <c r="AR31" i="31" s="1"/>
  <c r="AR36" i="31" s="1"/>
  <c r="AQ36" i="31"/>
  <c r="AR19" i="31"/>
  <c r="AR30" i="31" s="1"/>
  <c r="AS8" i="31"/>
  <c r="AS25" i="31" s="1"/>
  <c r="AS7" i="31"/>
  <c r="AT4" i="31"/>
  <c r="AR35" i="31" l="1"/>
  <c r="AS24" i="31"/>
  <c r="AS37" i="31" s="1"/>
  <c r="AS21" i="31"/>
  <c r="AS32" i="31" s="1"/>
  <c r="AS20" i="31"/>
  <c r="AS31" i="31" s="1"/>
  <c r="AS36" i="31" s="1"/>
  <c r="AS19" i="31"/>
  <c r="AS30" i="31" s="1"/>
  <c r="AU4" i="31"/>
  <c r="AV4" i="31" s="1"/>
  <c r="AT8" i="31"/>
  <c r="AT25" i="31" s="1"/>
  <c r="AT7" i="31"/>
  <c r="AS35" i="31" l="1"/>
  <c r="AT24" i="31"/>
  <c r="AT21" i="31"/>
  <c r="AT32" i="31" s="1"/>
  <c r="AT20" i="31"/>
  <c r="AT31" i="31" s="1"/>
  <c r="AT36" i="31" s="1"/>
  <c r="AT19" i="31"/>
  <c r="AT30" i="31" s="1"/>
  <c r="AV8" i="31"/>
  <c r="AV25" i="31" s="1"/>
  <c r="AV7" i="31"/>
  <c r="AU8" i="31"/>
  <c r="AU25" i="31" s="1"/>
  <c r="AU7" i="31"/>
  <c r="AW4" i="31"/>
  <c r="AT35" i="31" l="1"/>
  <c r="AT37" i="31"/>
  <c r="AV24" i="31"/>
  <c r="AV37" i="31" s="1"/>
  <c r="AV21" i="31"/>
  <c r="AV32" i="31" s="1"/>
  <c r="AU24" i="31"/>
  <c r="AU21" i="31"/>
  <c r="AU32" i="31" s="1"/>
  <c r="AV20" i="31"/>
  <c r="AV31" i="31" s="1"/>
  <c r="AV36" i="31" s="1"/>
  <c r="AU20" i="31"/>
  <c r="AU31" i="31" s="1"/>
  <c r="AU36" i="31" s="1"/>
  <c r="AV19" i="31"/>
  <c r="AV30" i="31" s="1"/>
  <c r="AU19" i="31"/>
  <c r="AU30" i="31" s="1"/>
  <c r="AW8" i="31"/>
  <c r="AW7" i="31"/>
  <c r="AV35" i="31" l="1"/>
  <c r="AW21" i="31"/>
  <c r="AU37" i="31"/>
  <c r="AU35" i="31"/>
  <c r="AW25" i="31"/>
  <c r="AX8" i="31"/>
  <c r="AW24" i="31"/>
  <c r="AX7" i="31"/>
  <c r="AW20" i="31"/>
  <c r="F54" i="52"/>
  <c r="AW19" i="31"/>
  <c r="P73" i="44"/>
  <c r="J11" i="44" l="1"/>
  <c r="AQ12" i="55" s="1"/>
  <c r="AQ42" i="31" s="1"/>
  <c r="AQ54" i="31" s="1"/>
  <c r="F57" i="52"/>
  <c r="AW32" i="31"/>
  <c r="AX32" i="31" s="1"/>
  <c r="AX24" i="31"/>
  <c r="E59" i="31"/>
  <c r="AW35" i="31"/>
  <c r="AX35" i="31" s="1"/>
  <c r="AW37" i="31"/>
  <c r="AX37" i="31" s="1"/>
  <c r="AW31" i="31"/>
  <c r="F56" i="52"/>
  <c r="AW30" i="31"/>
  <c r="AX30" i="31" s="1"/>
  <c r="F55" i="52"/>
  <c r="G23" i="30"/>
  <c r="G9" i="30"/>
  <c r="G5" i="30"/>
  <c r="G13" i="30"/>
  <c r="G18" i="30"/>
  <c r="G6" i="30"/>
  <c r="J41" i="30"/>
  <c r="K41" i="30"/>
  <c r="N6" i="58" l="1"/>
  <c r="P78" i="44"/>
  <c r="AT12" i="55"/>
  <c r="AT42" i="31" s="1"/>
  <c r="AT54" i="31" s="1"/>
  <c r="AP12" i="55"/>
  <c r="AP42" i="31" s="1"/>
  <c r="AP54" i="31" s="1"/>
  <c r="AV12" i="55"/>
  <c r="AV42" i="31" s="1"/>
  <c r="AV54" i="31" s="1"/>
  <c r="AR12" i="55"/>
  <c r="AR42" i="31" s="1"/>
  <c r="AR54" i="31" s="1"/>
  <c r="AN12" i="55"/>
  <c r="AN42" i="31" s="1"/>
  <c r="AN54" i="31" s="1"/>
  <c r="AS12" i="55"/>
  <c r="AS42" i="31" s="1"/>
  <c r="AS54" i="31" s="1"/>
  <c r="AU12" i="55"/>
  <c r="AU42" i="31" s="1"/>
  <c r="AU54" i="31" s="1"/>
  <c r="AM12" i="55"/>
  <c r="AM42" i="31" s="1"/>
  <c r="AM54" i="31" s="1"/>
  <c r="AO12" i="55"/>
  <c r="AO42" i="31" s="1"/>
  <c r="AO54" i="31" s="1"/>
  <c r="AW12" i="55"/>
  <c r="AW42" i="31" s="1"/>
  <c r="AL12" i="55"/>
  <c r="AL42" i="31" s="1"/>
  <c r="AL54" i="31" s="1"/>
  <c r="E63" i="31"/>
  <c r="P82" i="44" s="1"/>
  <c r="AW36" i="31"/>
  <c r="AX36" i="31" s="1"/>
  <c r="AX31" i="31"/>
  <c r="E67" i="31"/>
  <c r="P112" i="44" s="1"/>
  <c r="Q112" i="44" s="1"/>
  <c r="E62" i="31"/>
  <c r="F59" i="31"/>
  <c r="AY48" i="31"/>
  <c r="E61" i="31"/>
  <c r="R64" i="31" s="1"/>
  <c r="M30" i="44"/>
  <c r="Q82" i="44" l="1"/>
  <c r="Q78" i="44"/>
  <c r="F62" i="31"/>
  <c r="P79" i="44"/>
  <c r="Q79" i="44" s="1"/>
  <c r="O73" i="31"/>
  <c r="P80" i="44"/>
  <c r="F67" i="31"/>
  <c r="R61" i="31"/>
  <c r="R62" i="31" s="1"/>
  <c r="E68" i="31"/>
  <c r="P113" i="44" s="1"/>
  <c r="Q113" i="44" s="1"/>
  <c r="L10" i="30"/>
  <c r="C8" i="56" s="1"/>
  <c r="F63" i="31"/>
  <c r="AW54" i="31"/>
  <c r="E65" i="31"/>
  <c r="F65" i="31" s="1"/>
  <c r="N19" i="58"/>
  <c r="L18" i="30"/>
  <c r="L5" i="30"/>
  <c r="L6" i="30"/>
  <c r="N7" i="58"/>
  <c r="F61" i="31"/>
  <c r="O84" i="31" l="1"/>
  <c r="P83" i="44"/>
  <c r="P110" i="44"/>
  <c r="P111" i="44"/>
  <c r="Q111" i="44" s="1"/>
  <c r="Q80" i="44"/>
  <c r="R67" i="31"/>
  <c r="O76" i="31" s="1"/>
  <c r="O77" i="31" s="1"/>
  <c r="L16" i="30"/>
  <c r="C5" i="56"/>
  <c r="L26" i="30"/>
  <c r="M5" i="30" s="1"/>
  <c r="D7" i="56"/>
  <c r="S64" i="31"/>
  <c r="L64" i="31"/>
  <c r="M66" i="31"/>
  <c r="S66" i="31"/>
  <c r="M61" i="31"/>
  <c r="F68" i="31"/>
  <c r="S67" i="31" s="1"/>
  <c r="L19" i="30"/>
  <c r="D8" i="56" s="1"/>
  <c r="F8" i="56" s="1"/>
  <c r="G8" i="56" s="1"/>
  <c r="N15" i="58"/>
  <c r="N26" i="58" s="1"/>
  <c r="L13" i="30"/>
  <c r="D5" i="56" s="1"/>
  <c r="D9" i="56"/>
  <c r="N25" i="58"/>
  <c r="C9" i="56"/>
  <c r="F22" i="30"/>
  <c r="F27" i="30" s="1"/>
  <c r="B55" i="31"/>
  <c r="C55" i="31" s="1"/>
  <c r="P114" i="44" l="1"/>
  <c r="P115" i="44" s="1"/>
  <c r="Q110" i="44"/>
  <c r="O87" i="31"/>
  <c r="O88" i="31" s="1"/>
  <c r="L20" i="30"/>
  <c r="M64" i="31"/>
  <c r="AF50" i="57" s="1"/>
  <c r="N64" i="31"/>
  <c r="M62" i="31"/>
  <c r="L61" i="31"/>
  <c r="N61" i="31" s="1"/>
  <c r="L75" i="31"/>
  <c r="L77" i="31" s="1"/>
  <c r="L79" i="31" s="1"/>
  <c r="L67" i="31"/>
  <c r="N67" i="31" s="1"/>
  <c r="M19" i="30"/>
  <c r="M15" i="30"/>
  <c r="M10" i="30"/>
  <c r="M14" i="30"/>
  <c r="O21" i="58"/>
  <c r="O5" i="58"/>
  <c r="O6" i="58"/>
  <c r="O4" i="58"/>
  <c r="O10" i="58"/>
  <c r="O13" i="58"/>
  <c r="O23" i="58"/>
  <c r="O15" i="58"/>
  <c r="O19" i="58"/>
  <c r="N28" i="58"/>
  <c r="N30" i="58" s="1"/>
  <c r="O7" i="58"/>
  <c r="O16" i="58"/>
  <c r="O22" i="58"/>
  <c r="O14" i="58"/>
  <c r="F7" i="56"/>
  <c r="G7" i="56" s="1"/>
  <c r="M24" i="30"/>
  <c r="C52" i="39"/>
  <c r="G22" i="30"/>
  <c r="B79" i="31"/>
  <c r="N50" i="57" l="1"/>
  <c r="AB50" i="57"/>
  <c r="AW50" i="57"/>
  <c r="X50" i="57"/>
  <c r="J50" i="57"/>
  <c r="H50" i="57"/>
  <c r="R50" i="57"/>
  <c r="AO50" i="57"/>
  <c r="P50" i="57"/>
  <c r="AR50" i="57"/>
  <c r="K50" i="57"/>
  <c r="Z50" i="57"/>
  <c r="AE50" i="57"/>
  <c r="T50" i="57"/>
  <c r="AS50" i="57"/>
  <c r="M50" i="57"/>
  <c r="AP50" i="57"/>
  <c r="AG50" i="57"/>
  <c r="C50" i="57"/>
  <c r="C54" i="57" s="1"/>
  <c r="AJ50" i="57"/>
  <c r="AH50" i="57"/>
  <c r="AM50" i="57"/>
  <c r="AK50" i="57"/>
  <c r="Q50" i="57"/>
  <c r="L68" i="31"/>
  <c r="N68" i="31" s="1"/>
  <c r="D40" i="57" s="1"/>
  <c r="M79" i="31"/>
  <c r="D36" i="59"/>
  <c r="D37" i="59" s="1"/>
  <c r="M67" i="31"/>
  <c r="AI50" i="57"/>
  <c r="AD50" i="57"/>
  <c r="L50" i="57"/>
  <c r="AC50" i="57"/>
  <c r="Y50" i="57"/>
  <c r="U50" i="57"/>
  <c r="D50" i="57"/>
  <c r="O50" i="57"/>
  <c r="AL50" i="57"/>
  <c r="AV50" i="57"/>
  <c r="AU50" i="57"/>
  <c r="I50" i="57"/>
  <c r="G50" i="57"/>
  <c r="AX50" i="57"/>
  <c r="AN50" i="57"/>
  <c r="AA50" i="57"/>
  <c r="AQ50" i="57"/>
  <c r="W50" i="57"/>
  <c r="AT50" i="57"/>
  <c r="E50" i="57"/>
  <c r="V50" i="57"/>
  <c r="S50" i="57"/>
  <c r="F50" i="57"/>
  <c r="L62" i="31"/>
  <c r="N62" i="31" s="1"/>
  <c r="L86" i="31"/>
  <c r="L88" i="31" s="1"/>
  <c r="L90" i="31" s="1"/>
  <c r="F9" i="56"/>
  <c r="G9" i="56" s="1"/>
  <c r="F5" i="56"/>
  <c r="G5" i="56" s="1"/>
  <c r="D52" i="39"/>
  <c r="D55" i="31"/>
  <c r="C76" i="31"/>
  <c r="D54" i="57" l="1"/>
  <c r="E54" i="57" s="1"/>
  <c r="F54" i="57" s="1"/>
  <c r="G54" i="57" s="1"/>
  <c r="H54" i="57" s="1"/>
  <c r="I54" i="57" s="1"/>
  <c r="J54" i="57" s="1"/>
  <c r="K54" i="57" s="1"/>
  <c r="L54" i="57" s="1"/>
  <c r="M54" i="57" s="1"/>
  <c r="N54" i="57" s="1"/>
  <c r="O54" i="57" s="1"/>
  <c r="P54" i="57" s="1"/>
  <c r="Q54" i="57" s="1"/>
  <c r="R54" i="57" s="1"/>
  <c r="S54" i="57" s="1"/>
  <c r="T54" i="57" s="1"/>
  <c r="U54" i="57" s="1"/>
  <c r="V54" i="57" s="1"/>
  <c r="W54" i="57" s="1"/>
  <c r="X54" i="57" s="1"/>
  <c r="Y54" i="57" s="1"/>
  <c r="Z54" i="57" s="1"/>
  <c r="AA54" i="57" s="1"/>
  <c r="AB54" i="57" s="1"/>
  <c r="AC54" i="57" s="1"/>
  <c r="AD54" i="57" s="1"/>
  <c r="AE54" i="57" s="1"/>
  <c r="AF54" i="57" s="1"/>
  <c r="AG54" i="57" s="1"/>
  <c r="AH54" i="57" s="1"/>
  <c r="AI54" i="57" s="1"/>
  <c r="AJ54" i="57" s="1"/>
  <c r="AK54" i="57" s="1"/>
  <c r="AL54" i="57" s="1"/>
  <c r="AM54" i="57" s="1"/>
  <c r="AN54" i="57" s="1"/>
  <c r="AO54" i="57" s="1"/>
  <c r="AP54" i="57" s="1"/>
  <c r="AQ54" i="57" s="1"/>
  <c r="AR54" i="57" s="1"/>
  <c r="AS54" i="57" s="1"/>
  <c r="AT54" i="57" s="1"/>
  <c r="AU54" i="57" s="1"/>
  <c r="AV54" i="57" s="1"/>
  <c r="AW54" i="57" s="1"/>
  <c r="AX54" i="57" s="1"/>
  <c r="AY54" i="57" s="1"/>
  <c r="D37" i="57"/>
  <c r="D39" i="57" s="1"/>
  <c r="M68" i="31"/>
  <c r="M90" i="31"/>
  <c r="D42" i="59"/>
  <c r="D43" i="59" s="1"/>
  <c r="N79" i="31"/>
  <c r="E36" i="59"/>
  <c r="E37" i="59" s="1"/>
  <c r="E40" i="57"/>
  <c r="G10" i="56"/>
  <c r="D10" i="56"/>
  <c r="E52" i="39"/>
  <c r="E55" i="31"/>
  <c r="D41" i="57" l="1"/>
  <c r="D38" i="57"/>
  <c r="E37" i="57"/>
  <c r="O79" i="31"/>
  <c r="G36" i="59" s="1"/>
  <c r="G37" i="59" s="1"/>
  <c r="F36" i="59"/>
  <c r="F37" i="59" s="1"/>
  <c r="N90" i="31"/>
  <c r="E42" i="59"/>
  <c r="E43" i="59" s="1"/>
  <c r="O34" i="44"/>
  <c r="M33" i="30"/>
  <c r="M34" i="30" s="1"/>
  <c r="F52" i="39"/>
  <c r="F55" i="31"/>
  <c r="O90" i="31" l="1"/>
  <c r="G42" i="59" s="1"/>
  <c r="G43" i="59" s="1"/>
  <c r="F42" i="59"/>
  <c r="F43" i="59" s="1"/>
  <c r="G52" i="39"/>
  <c r="G55" i="31"/>
  <c r="H52" i="39" l="1"/>
  <c r="H55" i="31"/>
  <c r="I52" i="39" l="1"/>
  <c r="I55" i="31"/>
  <c r="J52" i="39" l="1"/>
  <c r="J55" i="31"/>
  <c r="K52" i="39" l="1"/>
  <c r="K55" i="31"/>
  <c r="I23" i="30"/>
  <c r="I9" i="30"/>
  <c r="I18" i="30"/>
  <c r="I13" i="30"/>
  <c r="I5" i="30"/>
  <c r="I6" i="30"/>
  <c r="L52" i="39" l="1"/>
  <c r="L55" i="31"/>
  <c r="N30" i="44"/>
  <c r="M52" i="39" l="1"/>
  <c r="M55" i="31"/>
  <c r="N52" i="39" s="1"/>
  <c r="D76" i="31" l="1"/>
  <c r="K23" i="30" l="1"/>
  <c r="K9" i="30"/>
  <c r="K18" i="30"/>
  <c r="K13" i="30"/>
  <c r="K5" i="30"/>
  <c r="K6" i="30"/>
  <c r="O30" i="44" l="1"/>
  <c r="H22" i="30" l="1"/>
  <c r="H27" i="30" s="1"/>
  <c r="N55" i="31"/>
  <c r="J22" i="30" l="1"/>
  <c r="J27" i="30" s="1"/>
  <c r="O52" i="39"/>
  <c r="O55" i="31"/>
  <c r="C79" i="31"/>
  <c r="D79" i="31" l="1"/>
  <c r="I22" i="30"/>
  <c r="P52" i="39"/>
  <c r="P55" i="31"/>
  <c r="K22" i="30" l="1"/>
  <c r="Q52" i="39"/>
  <c r="Q55" i="31"/>
  <c r="I91" i="44" l="1"/>
  <c r="R52" i="39"/>
  <c r="R55" i="31"/>
  <c r="E76" i="31"/>
  <c r="S52" i="39" l="1"/>
  <c r="S55" i="31"/>
  <c r="J42" i="30"/>
  <c r="T52" i="39" l="1"/>
  <c r="T55" i="31"/>
  <c r="U52" i="39" l="1"/>
  <c r="U55" i="31"/>
  <c r="V52" i="39" l="1"/>
  <c r="V55" i="31"/>
  <c r="W52" i="39" l="1"/>
  <c r="W55" i="31"/>
  <c r="K42" i="30"/>
  <c r="X52" i="39" l="1"/>
  <c r="X55" i="31"/>
  <c r="M23" i="30"/>
  <c r="M9" i="30"/>
  <c r="M18" i="30"/>
  <c r="M13" i="30"/>
  <c r="M6" i="30"/>
  <c r="Y52" i="39" l="1"/>
  <c r="Y55" i="31"/>
  <c r="P30" i="44"/>
  <c r="Z52" i="39" l="1"/>
  <c r="Z55" i="31"/>
  <c r="L22" i="30" l="1"/>
  <c r="L27" i="30" s="1"/>
  <c r="AA52" i="39"/>
  <c r="AA55" i="31"/>
  <c r="H29" i="30"/>
  <c r="H31" i="30" s="1"/>
  <c r="AB52" i="39" l="1"/>
  <c r="AB55" i="31"/>
  <c r="E79" i="31"/>
  <c r="N31" i="44"/>
  <c r="M22" i="30" l="1"/>
  <c r="AC52" i="39"/>
  <c r="AC55" i="31"/>
  <c r="J29" i="30"/>
  <c r="J31" i="30" s="1"/>
  <c r="AD52" i="39" l="1"/>
  <c r="AD55" i="31"/>
  <c r="O31" i="44"/>
  <c r="AE52" i="39" l="1"/>
  <c r="AE55" i="31"/>
  <c r="L29" i="30"/>
  <c r="L31" i="30" s="1"/>
  <c r="AF52" i="39" l="1"/>
  <c r="AF55" i="31"/>
  <c r="P31" i="44"/>
  <c r="AG52" i="39" l="1"/>
  <c r="AG55" i="31"/>
  <c r="I96" i="44" l="1"/>
  <c r="F29" i="30"/>
  <c r="F31" i="30" s="1"/>
  <c r="AH52" i="39"/>
  <c r="AH55" i="31"/>
  <c r="I100" i="44" l="1"/>
  <c r="AI52" i="39"/>
  <c r="AI55" i="31"/>
  <c r="M31" i="44"/>
  <c r="AJ52" i="39" l="1"/>
  <c r="AJ55" i="31"/>
  <c r="AK52" i="39" l="1"/>
  <c r="AK55" i="31"/>
  <c r="AL52" i="39" l="1"/>
  <c r="AL55" i="31"/>
  <c r="AM52" i="39" l="1"/>
  <c r="AM55" i="31"/>
  <c r="AN52" i="39" l="1"/>
  <c r="AN55" i="31"/>
  <c r="AO52" i="39" l="1"/>
  <c r="AO55" i="31"/>
  <c r="AP52" i="39" l="1"/>
  <c r="AP55" i="31"/>
  <c r="AQ52" i="39" l="1"/>
  <c r="AQ55" i="31"/>
  <c r="AR52" i="39" l="1"/>
  <c r="AR55" i="31"/>
  <c r="AS52" i="39" l="1"/>
  <c r="AS55" i="31"/>
  <c r="AT52" i="39" l="1"/>
  <c r="AT55" i="31"/>
  <c r="AU52" i="39" l="1"/>
  <c r="AU55" i="31"/>
  <c r="AV52" i="39" l="1"/>
  <c r="AV55" i="31"/>
  <c r="AW52" i="39" l="1"/>
  <c r="AW55" i="31"/>
  <c r="H33" i="30" l="1"/>
  <c r="H34" i="30" s="1"/>
  <c r="AX52" i="39"/>
  <c r="L34" i="44" l="1"/>
  <c r="I35" i="3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Dana Willmer</author>
  </authors>
  <commentList>
    <comment ref="F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How many of your current Dynamics perpetual customers will you convert to Dynamics 365 in year 1?</t>
        </r>
      </text>
    </comment>
    <comment ref="G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How many of your current Dynamics perpetual customers will you convert to Dynamics 365 in year 2?</t>
        </r>
      </text>
    </comment>
    <comment ref="I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How many of your current Dynamics perpetual customers will you convert to Dynamics 365 in year 3?</t>
        </r>
      </text>
    </comment>
    <comment ref="J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How many of your current Dynamics perpetual customers will you convert to Dynamics 365 in year 4?</t>
        </r>
      </text>
    </comment>
    <comment ref="F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How many TOTAL new Dynamics 365 customers will you add in year 1?</t>
        </r>
      </text>
    </comment>
    <comment ref="G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How many TOTAL new Dynamics 365 customers will you add in year 2?</t>
        </r>
      </text>
    </comment>
    <comment ref="I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How many TOTAL new Dynamics 365 customers will you add in year 3?</t>
        </r>
      </text>
    </comment>
    <comment ref="J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How many TOTAL new Dynamics 365 customers will you add in year 4?</t>
        </r>
      </text>
    </comment>
    <comment ref="C6" authorId="0" shapeId="0" xr:uid="{4F48AA90-E2D8-4E86-BC56-1B19E9CCBBE3}">
      <text>
        <r>
          <rPr>
            <b/>
            <sz val="9"/>
            <color indexed="81"/>
            <rFont val="Tahoma"/>
            <family val="2"/>
          </rPr>
          <t>What is the number of Dynamics customers you have today?</t>
        </r>
      </text>
    </comment>
    <comment ref="C7" authorId="0" shapeId="0" xr:uid="{AAE942A8-276E-4A6E-9B5D-13D310A4DB90}">
      <text>
        <r>
          <rPr>
            <b/>
            <sz val="9"/>
            <color indexed="81"/>
            <rFont val="Tahoma"/>
            <family val="2"/>
          </rPr>
          <t>On average, how many seats per Dynamics customer do you have today?</t>
        </r>
      </text>
    </comment>
    <comment ref="F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how many of these resources will you have in year 1?</t>
        </r>
      </text>
    </comment>
    <comment ref="G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how many of these resources will you have in year 2?</t>
        </r>
      </text>
    </comment>
    <comment ref="I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how many of these resources will you have in year 3?</t>
        </r>
      </text>
    </comment>
    <comment ref="J7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how many of these resources will you have in year 4?</t>
        </r>
      </text>
    </comment>
    <comment ref="C8" authorId="0" shapeId="0" xr:uid="{118D9127-EB0C-49F2-BBA9-D2571A0F8E9B}">
      <text>
        <r>
          <rPr>
            <b/>
            <sz val="9"/>
            <color indexed="81"/>
            <rFont val="Tahoma"/>
            <family val="2"/>
          </rPr>
          <t>What is the gross amount of maintenance paid today for every perpetual Dynamics license your customers hold?</t>
        </r>
      </text>
    </comment>
    <comment ref="F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how many of these resources will you have in year 1?</t>
        </r>
      </text>
    </comment>
    <comment ref="G8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how many of these resources will you have in year 2?</t>
        </r>
      </text>
    </comment>
    <comment ref="I8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how many of these resources will you have in year 3?</t>
        </r>
      </text>
    </comment>
    <comment ref="J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how many of these resources will you have in year 4?</t>
        </r>
      </text>
    </comment>
    <comment ref="C9" authorId="0" shapeId="0" xr:uid="{A8901FD9-7EF5-4348-B444-D0B6AE359C1D}">
      <text>
        <r>
          <rPr>
            <b/>
            <sz val="9"/>
            <color indexed="81"/>
            <rFont val="Tahoma"/>
            <family val="2"/>
          </rPr>
          <t>For every concurrent user you have in your customer base today, how many names users do you think will result if you convert them to Dynanmics 365?</t>
        </r>
      </text>
    </comment>
    <comment ref="F9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how many of these resources will you have in year 1?</t>
        </r>
      </text>
    </comment>
    <comment ref="G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how many of these resources will you have in year 2?</t>
        </r>
      </text>
    </comment>
    <comment ref="I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how many of these resources will you have in year 3?</t>
        </r>
      </text>
    </comment>
    <comment ref="J9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how many of these resources will you have in year 4?</t>
        </r>
      </text>
    </comment>
    <comment ref="F10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how many of these resources will you have in year 1?</t>
        </r>
      </text>
    </comment>
    <comment ref="G10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how many of these resources will you have in year 2?</t>
        </r>
      </text>
    </comment>
    <comment ref="I10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how many of these resources will you have in year 3?</t>
        </r>
      </text>
    </comment>
    <comment ref="J10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how many of these resources will you have in year 4?</t>
        </r>
      </text>
    </comment>
    <comment ref="C11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What will be the average size of each new D365 deal sold, in terms of full users?</t>
        </r>
      </text>
    </comment>
    <comment ref="F1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how many of these resources will you have in year 1?</t>
        </r>
      </text>
    </comment>
    <comment ref="G1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how many of these resources will you have in year 2?</t>
        </r>
      </text>
    </comment>
    <comment ref="I11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how many of these resources will you have in year 3?</t>
        </r>
      </text>
    </comment>
    <comment ref="J1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how many of these resources will you have in year 4?</t>
        </r>
      </text>
    </comment>
    <comment ref="C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What will be the average size of each new D365 deal sold, in terms of limited users?</t>
        </r>
      </text>
    </comment>
    <comment ref="F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how many of these resources will you have in year 1?</t>
        </r>
      </text>
    </comment>
    <comment ref="G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how many of these resources will you have in year 2?</t>
        </r>
      </text>
    </comment>
    <comment ref="I12" authorId="0" shapeId="0" xr:uid="{4FD2AF7C-BAF3-41D6-A185-359CA6426F22}">
      <text>
        <r>
          <rPr>
            <b/>
            <sz val="9"/>
            <color indexed="81"/>
            <rFont val="Tahoma"/>
            <family val="2"/>
          </rPr>
          <t>how many of these resources will you have in year 3?</t>
        </r>
      </text>
    </comment>
    <comment ref="J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how many of these resources will you have in year 4?</t>
        </r>
      </text>
    </comment>
    <comment ref="F13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how many of these resources will you have in year 1?</t>
        </r>
      </text>
    </comment>
    <comment ref="G1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how many of these resources will you have in year 2?</t>
        </r>
      </text>
    </comment>
    <comment ref="I13" authorId="0" shapeId="0" xr:uid="{6630C856-2394-4C40-BE90-E91B8989F1C1}">
      <text>
        <r>
          <rPr>
            <b/>
            <sz val="9"/>
            <color indexed="81"/>
            <rFont val="Tahoma"/>
            <family val="2"/>
          </rPr>
          <t>how many of these resources will you have in year 3?</t>
        </r>
      </text>
    </comment>
    <comment ref="J13" authorId="0" shapeId="0" xr:uid="{9D31660F-B3C0-4E7C-B3AA-3F1AD3EE2FED}">
      <text>
        <r>
          <rPr>
            <b/>
            <sz val="9"/>
            <color indexed="81"/>
            <rFont val="Tahoma"/>
            <family val="2"/>
          </rPr>
          <t>how many of these resources will you have in year 4?</t>
        </r>
      </text>
    </comment>
    <comment ref="C14" authorId="0" shapeId="0" xr:uid="{14FBC888-42A5-4167-8FAF-298987458B99}">
      <text>
        <r>
          <rPr>
            <b/>
            <sz val="9"/>
            <color indexed="81"/>
            <rFont val="Tahoma"/>
            <family val="2"/>
          </rPr>
          <t>For each new Dynamics 365 deal, what do you expect to charge in terms of implementation fees in the first year?</t>
        </r>
      </text>
    </comment>
    <comment ref="C15" authorId="0" shapeId="0" xr:uid="{A0392EC8-CC68-42E5-B0D8-54E01CF66DF3}">
      <text>
        <r>
          <rPr>
            <b/>
            <sz val="9"/>
            <color indexed="81"/>
            <rFont val="Tahoma"/>
            <family val="2"/>
          </rPr>
          <t>For each existing customer you convert to Dynamics 365, what do you expect to charge in terms of implementation fees in the first year?</t>
        </r>
      </text>
    </comment>
    <comment ref="C16" authorId="0" shapeId="0" xr:uid="{FFA1B69B-A260-4B08-B720-347205F8F5D3}">
      <text>
        <r>
          <rPr>
            <b/>
            <sz val="9"/>
            <color indexed="81"/>
            <rFont val="Tahoma"/>
            <family val="2"/>
          </rPr>
          <t>For each new Dynamics 365 subscription deal and converted customer, what do you expect to charge in ongoing project fees, per year?</t>
        </r>
      </text>
    </comment>
    <comment ref="F16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As a function of first year revenue generated by new customer adds, what will your variable sales costs be?</t>
        </r>
      </text>
    </comment>
    <comment ref="G16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What will your marketing costs be to generate a qualified lead?</t>
        </r>
      </text>
    </comment>
    <comment ref="I16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For every new customer add, how many qualified leads do you expect to have to generate?</t>
        </r>
      </text>
    </comment>
    <comment ref="J16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As a function of ongoing revenue, what do you expect your total customer retention costs to be?</t>
        </r>
      </text>
    </comment>
    <comment ref="C17" authorId="0" shapeId="0" xr:uid="{4A000493-0DF7-4097-BCD2-681691D76121}">
      <text>
        <r>
          <rPr>
            <b/>
            <sz val="9"/>
            <color indexed="81"/>
            <rFont val="Tahoma"/>
            <family val="2"/>
          </rPr>
          <t>For each new Dynamics 365 subscription deal, what do you expect to charge the customer for the FULL Dynamics 365 license, PER USER per month?</t>
        </r>
      </text>
    </comment>
    <comment ref="C18" authorId="0" shapeId="0" xr:uid="{E563E87E-13AE-4DDF-8480-C2C1CAC7E46A}">
      <text>
        <r>
          <rPr>
            <b/>
            <sz val="9"/>
            <color indexed="81"/>
            <rFont val="Tahoma"/>
            <family val="2"/>
          </rPr>
          <t>For each newDynamics 365 subscription deal, what do you expect to charge the customer for the LIMITED Dynamics 365 license, PER USER per month?</t>
        </r>
      </text>
    </comment>
    <comment ref="F1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What will your fixed costs in this area be in year 1?</t>
        </r>
      </text>
    </comment>
    <comment ref="G18" authorId="0" shapeId="0" xr:uid="{4EBD6506-BF7F-4DF3-8CF3-193508CD5BFB}">
      <text>
        <r>
          <rPr>
            <b/>
            <sz val="9"/>
            <color indexed="81"/>
            <rFont val="Tahoma"/>
            <family val="2"/>
          </rPr>
          <t>What will your fixed costs in this area be in year 2?</t>
        </r>
      </text>
    </comment>
    <comment ref="I18" authorId="0" shapeId="0" xr:uid="{46FDACD8-BFB8-4BC0-A2A8-C79A18A479AD}">
      <text>
        <r>
          <rPr>
            <b/>
            <sz val="9"/>
            <color indexed="81"/>
            <rFont val="Tahoma"/>
            <family val="2"/>
          </rPr>
          <t>What will your fixed costs in this area be in year 3?</t>
        </r>
      </text>
    </comment>
    <comment ref="J18" authorId="0" shapeId="0" xr:uid="{5C8CD949-9245-478E-8B6F-CE8A760174B7}">
      <text>
        <r>
          <rPr>
            <b/>
            <sz val="9"/>
            <color indexed="81"/>
            <rFont val="Tahoma"/>
            <family val="2"/>
          </rPr>
          <t>What will your fixed costs in this area be in year 4?</t>
        </r>
      </text>
    </comment>
    <comment ref="C19" authorId="0" shapeId="0" xr:uid="{D68C4577-6D44-4FE1-95C8-41969162B63B}">
      <text>
        <r>
          <rPr>
            <b/>
            <sz val="9"/>
            <color indexed="81"/>
            <rFont val="Tahoma"/>
            <family val="2"/>
          </rPr>
          <t>For each Dymnamics 365 subscription deal, what do you expect to charge for your own IP, PER USER PER MONTH, for any users you sell it to?</t>
        </r>
      </text>
    </comment>
    <comment ref="F19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What will your fixed costs in this area be in year 1?</t>
        </r>
      </text>
    </comment>
    <comment ref="G19" authorId="0" shapeId="0" xr:uid="{39C27B17-9FFD-4F7E-A774-1AFC26CD2DF7}">
      <text>
        <r>
          <rPr>
            <b/>
            <sz val="9"/>
            <color indexed="81"/>
            <rFont val="Tahoma"/>
            <family val="2"/>
          </rPr>
          <t>What will your fixed costs in this area be in year 2?</t>
        </r>
      </text>
    </comment>
    <comment ref="I19" authorId="0" shapeId="0" xr:uid="{F1EED6C0-6B69-4802-98A5-C8623FCAEEB0}">
      <text>
        <r>
          <rPr>
            <b/>
            <sz val="9"/>
            <color indexed="81"/>
            <rFont val="Tahoma"/>
            <family val="2"/>
          </rPr>
          <t>What will your fixed costs in this area be in year 3?</t>
        </r>
      </text>
    </comment>
    <comment ref="J19" authorId="0" shapeId="0" xr:uid="{31382AAC-1711-4939-AF68-C8077EA7E0EC}">
      <text>
        <r>
          <rPr>
            <b/>
            <sz val="9"/>
            <color indexed="81"/>
            <rFont val="Tahoma"/>
            <family val="2"/>
          </rPr>
          <t>What will your fixed costs in this area be in year 4?</t>
        </r>
      </text>
    </comment>
    <comment ref="C20" authorId="0" shapeId="0" xr:uid="{964B13C4-B1DD-4975-A0A3-765F62750170}">
      <text>
        <r>
          <rPr>
            <b/>
            <sz val="9"/>
            <color indexed="81"/>
            <rFont val="Tahoma"/>
            <family val="2"/>
          </rPr>
          <t>For each Dynamics 365 subscription deal, what do you expect to charge for your own IP, PER USER PER MONTH, for any users you sell it to??</t>
        </r>
      </text>
    </comment>
    <comment ref="F20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What will your fixed costs in this area be in year 1?</t>
        </r>
      </text>
    </comment>
    <comment ref="G20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What will your fixed costs in this area be in year 2?</t>
        </r>
      </text>
    </comment>
    <comment ref="I20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What will your fixed costs in this area be in year 3?</t>
        </r>
      </text>
    </comment>
    <comment ref="J20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What will your fixed costs in this area be in year 4?</t>
        </r>
      </text>
    </comment>
    <comment ref="C21" authorId="0" shapeId="0" xr:uid="{F9F4918E-9E37-4162-997B-E7CE94F3575D}">
      <text>
        <r>
          <rPr>
            <b/>
            <sz val="9"/>
            <color indexed="81"/>
            <rFont val="Tahoma"/>
            <family val="2"/>
          </rPr>
          <t>For each Dynamics 365 subscription deal, what do you expect to charge for your own managed services, PER USER PER MONTH, for any users you sell it to?</t>
        </r>
      </text>
    </comment>
    <comment ref="E22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What portion of your new Dynamics 365 deals will have your own IP?</t>
        </r>
      </text>
    </comment>
    <comment ref="C23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What margin do you get on new perpetual licencses today?</t>
        </r>
      </text>
    </comment>
    <comment ref="C24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What margin do you get on maintenance paid by customers with perpetual licencses today?</t>
        </r>
      </text>
    </comment>
    <comment ref="C25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What margin will you get on any ISV functionality you sell with new Dynanamics 365 deals?</t>
        </r>
      </text>
    </comment>
    <comment ref="E25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What portion of your new Dynamics 365 deals will have your ISV functionality?</t>
        </r>
      </text>
    </comment>
    <comment ref="C27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What do you expect your annual fully loaded cost to be for this resource?</t>
        </r>
      </text>
    </comment>
    <comment ref="C28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>What do you expect your annual fully loaded cost to be for this resource?</t>
        </r>
      </text>
    </comment>
    <comment ref="E28" authorId="0" shapeId="0" xr:uid="{63124961-09ED-4657-BCDE-52AC09462568}">
      <text>
        <r>
          <rPr>
            <b/>
            <sz val="9"/>
            <color indexed="81"/>
            <rFont val="Tahoma"/>
            <family val="2"/>
          </rPr>
          <t>What portion of your new Dynamics 365 deals will have your ISV functionality?</t>
        </r>
      </text>
    </comment>
    <comment ref="C29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>What do you expect your annual fully loaded cost to be for this resource?</t>
        </r>
      </text>
    </comment>
    <comment ref="C30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>What do you expect your annual fully loaded cost to be for this resource?</t>
        </r>
      </text>
    </comment>
    <comment ref="C31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>What do you expect your annual fully loaded cost to be for this resource?</t>
        </r>
      </text>
    </comment>
    <comment ref="J31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>For your subscription customer base overall, what will be the annual chrun rate? This must be expressed as a positive number (eg churn of 10% is 10%, not -10%)</t>
        </r>
      </text>
    </comment>
    <comment ref="F32" authorId="0" shapeId="0" xr:uid="{47239DA2-8D2D-42D1-B784-961382EFE0BA}">
      <text>
        <r>
          <rPr>
            <b/>
            <sz val="9"/>
            <color indexed="81"/>
            <rFont val="Tahoma"/>
            <family val="2"/>
          </rPr>
          <t>What is the maximum number of users a single CSM could support?</t>
        </r>
      </text>
    </comment>
    <comment ref="C33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>What do you expect your annual fully loaded cost to be for this resource?</t>
        </r>
      </text>
    </comment>
    <comment ref="F33" authorId="0" shapeId="0" xr:uid="{884C5838-9ED4-4CD9-AF71-2FD78ADD6A12}">
      <text>
        <r>
          <rPr>
            <b/>
            <sz val="9"/>
            <color indexed="81"/>
            <rFont val="Tahoma"/>
            <family val="2"/>
          </rPr>
          <t>What is the maximum number of customer adds single BDR could achieve, in a year?</t>
        </r>
      </text>
    </comment>
    <comment ref="C34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What do you expect your annual fully loaded cost to be for this resource?</t>
        </r>
      </text>
    </comment>
    <comment ref="F34" authorId="0" shapeId="0" xr:uid="{F64F48F6-5BA5-4306-A941-1E051F0D86F8}">
      <text>
        <r>
          <rPr>
            <b/>
            <sz val="9"/>
            <color indexed="81"/>
            <rFont val="Tahoma"/>
            <family val="2"/>
          </rPr>
          <t>For any delivery resources (eg onboarding specialists), what is their average number of billable hours, per year?</t>
        </r>
      </text>
    </comment>
    <comment ref="F35" authorId="0" shapeId="0" xr:uid="{4067B18D-5504-4455-8FB2-BA7422D2735C}">
      <text>
        <r>
          <rPr>
            <b/>
            <sz val="9"/>
            <color indexed="81"/>
            <rFont val="Tahoma"/>
            <family val="2"/>
          </rPr>
          <t>For every seat of D365 you sell, how many hours do you anticipate it will take to install that seat?</t>
        </r>
      </text>
    </comment>
  </commentList>
</comments>
</file>

<file path=xl/sharedStrings.xml><?xml version="1.0" encoding="utf-8"?>
<sst xmlns="http://schemas.openxmlformats.org/spreadsheetml/2006/main" count="367" uniqueCount="227">
  <si>
    <t>Total Revenues</t>
  </si>
  <si>
    <t>Total Expenses</t>
  </si>
  <si>
    <t>Operating Margin</t>
  </si>
  <si>
    <t>EBITDA</t>
  </si>
  <si>
    <t>Year 2</t>
  </si>
  <si>
    <t>Year 3</t>
  </si>
  <si>
    <t>Year 4</t>
  </si>
  <si>
    <t>Year 1</t>
  </si>
  <si>
    <t>% of revenue</t>
  </si>
  <si>
    <t>year 2</t>
  </si>
  <si>
    <t>year 3</t>
  </si>
  <si>
    <t>year 4</t>
  </si>
  <si>
    <t>Year</t>
  </si>
  <si>
    <t>Month</t>
  </si>
  <si>
    <t>year 1</t>
  </si>
  <si>
    <t>Monthly Cumulative Cash Flow</t>
  </si>
  <si>
    <t>Starting</t>
  </si>
  <si>
    <t>Ending</t>
  </si>
  <si>
    <t>Revenue</t>
  </si>
  <si>
    <t>COGS</t>
  </si>
  <si>
    <t>OPEX</t>
  </si>
  <si>
    <t>Monthly Cash Flow (Cloud)</t>
  </si>
  <si>
    <t>Own IP Subscriptions</t>
  </si>
  <si>
    <t>New Customer Subscription License Costs</t>
  </si>
  <si>
    <t>Slider Bar Calculations</t>
  </si>
  <si>
    <t>Own IP</t>
  </si>
  <si>
    <t>IP Attach Rate</t>
  </si>
  <si>
    <t>Customer Acquisition Costs</t>
  </si>
  <si>
    <t>Contribution Margin</t>
  </si>
  <si>
    <t>P&amp;L Impact</t>
  </si>
  <si>
    <t>Dynamics</t>
  </si>
  <si>
    <t>Project Services</t>
  </si>
  <si>
    <t>Dynamics 365 Subscription Fee (Full)</t>
  </si>
  <si>
    <t>Dynamics 365 Subscription Fee (Limited)</t>
  </si>
  <si>
    <t>Cost per Qualified Lead</t>
  </si>
  <si>
    <t>Leads to Closed Deal</t>
  </si>
  <si>
    <t>yr 1</t>
  </si>
  <si>
    <t>ongoing</t>
  </si>
  <si>
    <t>Average D365 Deal Size (Full Users)</t>
  </si>
  <si>
    <t>Average D365 Deal Size (Limited Users)</t>
  </si>
  <si>
    <t>Dynamics 365</t>
  </si>
  <si>
    <t>Annual D365 Customer Adds</t>
  </si>
  <si>
    <t>Microsoft Maintenance Margin</t>
  </si>
  <si>
    <t>Other Fixed Investments</t>
  </si>
  <si>
    <t>Resourcing</t>
  </si>
  <si>
    <t>Costs</t>
  </si>
  <si>
    <t>Net New Customer Adds</t>
  </si>
  <si>
    <t>Best not touch any of this tab at all. Seriously.</t>
  </si>
  <si>
    <t>Growth</t>
  </si>
  <si>
    <t>Gross Margin ($)</t>
  </si>
  <si>
    <t>Life Expectancy</t>
  </si>
  <si>
    <t>FV</t>
  </si>
  <si>
    <t>PV</t>
  </si>
  <si>
    <t>total valuation</t>
  </si>
  <si>
    <t>Risk Discount Rate</t>
  </si>
  <si>
    <t>Lost Perpetual Maintenance</t>
  </si>
  <si>
    <t>Net New D365 Customer Adds</t>
  </si>
  <si>
    <t>Dynamics 365 Subscriptions</t>
  </si>
  <si>
    <t>Solution Delivery</t>
  </si>
  <si>
    <t>Software</t>
  </si>
  <si>
    <t>Services</t>
  </si>
  <si>
    <t>Solution Delivery Costs</t>
  </si>
  <si>
    <t>Own IP Subscription Fee (Average)</t>
  </si>
  <si>
    <t>Absolute Minimum Working Capital Required</t>
  </si>
  <si>
    <t>Recommended Working Capital</t>
  </si>
  <si>
    <t>Anticipated Business Valuation Impact</t>
  </si>
  <si>
    <t>R&amp;D</t>
  </si>
  <si>
    <t>Training</t>
  </si>
  <si>
    <t>Incremental G&amp;A</t>
  </si>
  <si>
    <t>Inncremental G&amp;A</t>
  </si>
  <si>
    <t>Converted Seat Limited/Full User Ratio</t>
  </si>
  <si>
    <t>Total Net New D365 Full Users</t>
  </si>
  <si>
    <t>Total Net New D365 Limited Users</t>
  </si>
  <si>
    <t>Total Existing Customer Lost Maintenance Users</t>
  </si>
  <si>
    <t>Total Existing Customer Conversion D365 Full Users</t>
  </si>
  <si>
    <t>Total Existing Customer Conversion D365 Limited Users</t>
  </si>
  <si>
    <t>Existing Customer Conversions (Full Users)</t>
  </si>
  <si>
    <t>Existing Customer Conversions (Limited Users)</t>
  </si>
  <si>
    <t>Active Dynamics Customers Today</t>
  </si>
  <si>
    <t>Average Users per Customer Today</t>
  </si>
  <si>
    <t>Annual Perpetual Customers Converted</t>
  </si>
  <si>
    <t>Customer Success Manager</t>
  </si>
  <si>
    <t>Onboarding Specialist</t>
  </si>
  <si>
    <t>Developer</t>
  </si>
  <si>
    <t>Business Analyst</t>
  </si>
  <si>
    <t>Cloud Services Manager</t>
  </si>
  <si>
    <t>Lost BREP</t>
  </si>
  <si>
    <t>Traditional Maintenance Users</t>
  </si>
  <si>
    <t>Dynamics 365 Users</t>
  </si>
  <si>
    <t>Other R&amp;D</t>
  </si>
  <si>
    <t>Margin</t>
  </si>
  <si>
    <t>Maintenance per Existing Customer</t>
  </si>
  <si>
    <t>Today</t>
  </si>
  <si>
    <t>Dynamics Maintenance</t>
  </si>
  <si>
    <t>G&amp;A</t>
  </si>
  <si>
    <t>D365 Rebates</t>
  </si>
  <si>
    <t>D365 Base Subscriptions</t>
  </si>
  <si>
    <t>Current Customer Base Metrics</t>
  </si>
  <si>
    <t>Lost Maintenance Users</t>
  </si>
  <si>
    <t>Sales &amp; Marketing Costs</t>
  </si>
  <si>
    <t>New Customer Add Metrics</t>
  </si>
  <si>
    <t>Variable Sales Cost</t>
  </si>
  <si>
    <t>Concurrent/Named User Gross-up</t>
  </si>
  <si>
    <t>Existing Customer Conversions</t>
  </si>
  <si>
    <t>Annual Subscription Churn</t>
  </si>
  <si>
    <t>% increase</t>
  </si>
  <si>
    <t>Dynamics 365 Fee Structure</t>
  </si>
  <si>
    <t>Annual Retention Cost</t>
  </si>
  <si>
    <t>Estimated Business Valuation Impact @ end of Year 4</t>
  </si>
  <si>
    <t>Valuation Impact Multiple (Revenue)</t>
  </si>
  <si>
    <t>Annual Delivery Resource Costs</t>
  </si>
  <si>
    <t>Annual Sales &amp; Marketing Resource Costs</t>
  </si>
  <si>
    <t>combined new gross margin</t>
  </si>
  <si>
    <t>Business Development Rep</t>
  </si>
  <si>
    <t>Demand Generation Marketing</t>
  </si>
  <si>
    <t>IP Development Costs</t>
  </si>
  <si>
    <t>Customer Acquisition &amp; Retention Variable Costs</t>
  </si>
  <si>
    <t>Dynamics 365 Rebate (24 months)</t>
  </si>
  <si>
    <t>Dynamics 365 Business Central</t>
  </si>
  <si>
    <t>Own IP Attach Rate</t>
  </si>
  <si>
    <t>ISV Margin (ongoing)</t>
  </si>
  <si>
    <t>ISV Subscription Fee (Average)</t>
  </si>
  <si>
    <t>ISV Attach Rate</t>
  </si>
  <si>
    <t>ISV Subscriptions</t>
  </si>
  <si>
    <t>Total D365 Users with Own IP Subscriptions</t>
  </si>
  <si>
    <t>Total D365 Users with ISV Subscriptions</t>
  </si>
  <si>
    <t>ISV  Subscriptions</t>
  </si>
  <si>
    <t>D365 Subscription License Revenue</t>
  </si>
  <si>
    <t>D365 Subscription IP Revenue</t>
  </si>
  <si>
    <t>D365 Subscription ISV Revenue</t>
  </si>
  <si>
    <t>Dynamics 365 &amp; ISV Subscriptions</t>
  </si>
  <si>
    <t>D365 &amp; ISV Subscriptions</t>
  </si>
  <si>
    <t>ISV</t>
  </si>
  <si>
    <t>Total D365 Subscription per Converted Customer</t>
  </si>
  <si>
    <t>Total D365 Subscription per New Customer</t>
  </si>
  <si>
    <t>Dynamics 365 Margin (full)</t>
  </si>
  <si>
    <t>Microsoft/ISV Margin Structure</t>
  </si>
  <si>
    <t>Dynamics 365 Margin (limited)</t>
  </si>
  <si>
    <t>converted blended D365 subscription/user</t>
  </si>
  <si>
    <t>converted blended margin</t>
  </si>
  <si>
    <t>new blended D365 subscription/user</t>
  </si>
  <si>
    <t>new blended margin</t>
  </si>
  <si>
    <t>converted % limited</t>
  </si>
  <si>
    <t>converted % full</t>
  </si>
  <si>
    <t>new % full</t>
  </si>
  <si>
    <t>new % limited</t>
  </si>
  <si>
    <t>Perpetual Licenses</t>
  </si>
  <si>
    <t>Dynamics Maintenance per License</t>
  </si>
  <si>
    <t>Annual Revenue</t>
  </si>
  <si>
    <t>Annual Margin</t>
  </si>
  <si>
    <t>Resourceing</t>
  </si>
  <si>
    <t>to more precisely model monthly assumptions around new customer adds, existing customer conversions to D365,</t>
  </si>
  <si>
    <t xml:space="preserve">or the timing of individual resource onboarding, adjust the highlighted cells, but be aware that this could break </t>
  </si>
  <si>
    <t>the model.</t>
  </si>
  <si>
    <t>Microsoft New Perpetual License Margin</t>
  </si>
  <si>
    <t>New Perpetual Deal</t>
  </si>
  <si>
    <t>New D365 Deal</t>
  </si>
  <si>
    <t>New Perpetual Dynamics License</t>
  </si>
  <si>
    <t>Maintenance Rate</t>
  </si>
  <si>
    <t>New Perpetual Deal Margin</t>
  </si>
  <si>
    <t>Perpetual Deal Services Margin</t>
  </si>
  <si>
    <t>New D365 Deal (Full)</t>
  </si>
  <si>
    <t>New D365 Deal (Limited)</t>
  </si>
  <si>
    <t>Annual Customer Cost (Existing Maintenance)*</t>
  </si>
  <si>
    <t>Annual Customer Cost (Converted to Dynamics 365 Subscriptions)**</t>
  </si>
  <si>
    <t>Annual Customer Cost (New Dynamics 365 Subscriptions)**</t>
  </si>
  <si>
    <t>New Perpetual Deal Revenue</t>
  </si>
  <si>
    <t>D365 Subscription Revenue (full new)</t>
  </si>
  <si>
    <t>D365 Subscription Revenue (full converted)</t>
  </si>
  <si>
    <t>D365 Subscription Revenue (limited converted)</t>
  </si>
  <si>
    <t>D365 Subscription Revenue (limited new)</t>
  </si>
  <si>
    <t>Maximum Users/CSM</t>
  </si>
  <si>
    <t>Maximum Customer Adds/BDR</t>
  </si>
  <si>
    <t>Upfront Project Fees (new)</t>
  </si>
  <si>
    <t>Ongoing Project Fees (new &amp; converted)</t>
  </si>
  <si>
    <t>Upfront Project Fees (converted)</t>
  </si>
  <si>
    <t>Annual Utilization Hours</t>
  </si>
  <si>
    <t>Deployment Hours/Seat</t>
  </si>
  <si>
    <t>Key Operating Ratios</t>
  </si>
  <si>
    <t>Seats Deployed</t>
  </si>
  <si>
    <t>Managed Services Attach Rate</t>
  </si>
  <si>
    <t>Total D365 Users with Managed Services</t>
  </si>
  <si>
    <t>Managed Services Fee (Average)</t>
  </si>
  <si>
    <t>Managed Services Fees</t>
  </si>
  <si>
    <t>Managed Services Revenue</t>
  </si>
  <si>
    <t>Managed Services</t>
  </si>
  <si>
    <t>Managed Services Costs</t>
  </si>
  <si>
    <t>Average D365 Subscription (New)</t>
  </si>
  <si>
    <t>Average D365 Subscription (Converted)</t>
  </si>
  <si>
    <t>Other Revenue</t>
  </si>
  <si>
    <t>Other Cost</t>
  </si>
  <si>
    <t>Converted</t>
  </si>
  <si>
    <t>New</t>
  </si>
  <si>
    <t>Professional Services (converted)</t>
  </si>
  <si>
    <t>Professional Services (new)</t>
  </si>
  <si>
    <t>Customer Acquisition Costs (New Marketing)</t>
  </si>
  <si>
    <t>Revenue/New Customer</t>
  </si>
  <si>
    <t>Revenue/Converted Customer</t>
  </si>
  <si>
    <t>Per User</t>
  </si>
  <si>
    <t>Variable Customer Acquisition Costs (New Sales &amp; Retention)</t>
  </si>
  <si>
    <t>Variable Customer Acquisition Costs (Converted Sales &amp; Retention)</t>
  </si>
  <si>
    <t>Average Margin</t>
  </si>
  <si>
    <t>Year 1 Margin</t>
  </si>
  <si>
    <t>Year 2 Margin</t>
  </si>
  <si>
    <t>Year 3 Margin</t>
  </si>
  <si>
    <t>Year 4 Margin</t>
  </si>
  <si>
    <t>yr 2</t>
  </si>
  <si>
    <t>yr 3</t>
  </si>
  <si>
    <t>yr 4</t>
  </si>
  <si>
    <t>Margin/New Customer</t>
  </si>
  <si>
    <t>Margin/Converted Customer</t>
  </si>
  <si>
    <t>Solution Delivery Revenue</t>
  </si>
  <si>
    <t>Cumulative Margin</t>
  </si>
  <si>
    <t>blended project services / user</t>
  </si>
  <si>
    <t>Average Project Services (New)</t>
  </si>
  <si>
    <t>Cost</t>
  </si>
  <si>
    <t>Average Project Services (Converted)</t>
  </si>
  <si>
    <t>Cumulative Revenue</t>
  </si>
  <si>
    <t>Average Customer Acquisition/Conversion Cost</t>
  </si>
  <si>
    <t>* excluding own IP, ISV attach, professional &amp; managed services</t>
  </si>
  <si>
    <t>** including own IP, ISV attach, &amp; managed services but excluding professional services</t>
  </si>
  <si>
    <t>CAC Payback (new)</t>
  </si>
  <si>
    <t>CAC Payback (converted)</t>
  </si>
  <si>
    <t>Revenue Composition</t>
  </si>
  <si>
    <t>Margin Composition</t>
  </si>
  <si>
    <t>© CloudSpeed October 2018. All rights reserved.</t>
  </si>
  <si>
    <t>Recommended Working Capital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</si>
</sst>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;[Red]\-&quot;$&quot;#,##0"/>
    <numFmt numFmtId="8" formatCode="&quot;$&quot;#,##0.00;[Red]\-&quot;$&quot;#,##0.00"/>
    <numFmt numFmtId="164" formatCode="&quot;$&quot;#,##0"/>
    <numFmt numFmtId="165" formatCode="0.0%"/>
    <numFmt numFmtId="166" formatCode="0.0"/>
    <numFmt numFmtId="167" formatCode="#,##0_ ;[Red]\-#,##0\ "/>
    <numFmt numFmtId="168" formatCode="&quot;$&quot;#,##0.00"/>
    <numFmt numFmtId="169" formatCode="#,##0.0"/>
    <numFmt numFmtId="170" formatCode="#,##0.000"/>
    <numFmt numFmtId="171" formatCode="[$€-2]\ #,##0"/>
    <numFmt numFmtId="172" formatCode="0.00000"/>
    <numFmt numFmtId="173" formatCode="#,##0.00000"/>
    <numFmt numFmtId="174" formatCode="0.0000"/>
    <numFmt numFmtId="17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Segoe UI Light"/>
      <family val="2"/>
    </font>
    <font>
      <b/>
      <sz val="14"/>
      <color theme="0"/>
      <name val="Segoe UI Light"/>
      <family val="2"/>
    </font>
    <font>
      <b/>
      <sz val="11"/>
      <color theme="0"/>
      <name val="Segoe UI Light"/>
      <family val="2"/>
    </font>
    <font>
      <b/>
      <sz val="11"/>
      <color theme="1"/>
      <name val="Segoe UI Light"/>
      <family val="2"/>
    </font>
    <font>
      <sz val="11"/>
      <color rgb="FFFF0000"/>
      <name val="Segoe UI Light"/>
      <family val="2"/>
    </font>
    <font>
      <b/>
      <sz val="11"/>
      <name val="Segoe UI Light"/>
      <family val="2"/>
    </font>
    <font>
      <b/>
      <sz val="12"/>
      <color theme="1"/>
      <name val="Segoe UI Light"/>
      <family val="2"/>
    </font>
    <font>
      <sz val="11"/>
      <name val="Segoe UI Light"/>
      <family val="2"/>
    </font>
    <font>
      <b/>
      <sz val="12"/>
      <color theme="0"/>
      <name val="Segoe UI Light"/>
      <family val="2"/>
    </font>
    <font>
      <b/>
      <sz val="14"/>
      <name val="Segoe UI Light"/>
      <family val="2"/>
    </font>
    <font>
      <sz val="10"/>
      <color rgb="FFFF0000"/>
      <name val="Segoe UI Light"/>
      <family val="2"/>
    </font>
    <font>
      <b/>
      <sz val="10"/>
      <color theme="0"/>
      <name val="Segoe UI Light"/>
      <family val="2"/>
    </font>
    <font>
      <sz val="10"/>
      <name val="Segoe UI Light"/>
      <family val="2"/>
    </font>
    <font>
      <b/>
      <sz val="10"/>
      <color theme="1"/>
      <name val="Segoe UI Light"/>
      <family val="2"/>
    </font>
    <font>
      <sz val="9"/>
      <color theme="1"/>
      <name val="Segoe UI Light"/>
      <family val="2"/>
    </font>
    <font>
      <sz val="10.199999999999999"/>
      <color rgb="FF000000"/>
      <name val="Segoe U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1">
    <xf numFmtId="0" fontId="0" fillId="0" borderId="0" xfId="0"/>
    <xf numFmtId="0" fontId="3" fillId="0" borderId="0" xfId="0" applyFont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 applyProtection="1">
      <alignment horizontal="center"/>
    </xf>
    <xf numFmtId="171" fontId="7" fillId="0" borderId="0" xfId="0" applyNumberFormat="1" applyFont="1" applyFill="1" applyBorder="1" applyAlignment="1" applyProtection="1">
      <alignment horizontal="center"/>
    </xf>
    <xf numFmtId="171" fontId="7" fillId="0" borderId="0" xfId="1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171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textRotation="90"/>
    </xf>
    <xf numFmtId="0" fontId="8" fillId="0" borderId="0" xfId="0" applyFont="1" applyFill="1" applyBorder="1" applyAlignment="1" applyProtection="1">
      <alignment horizontal="center" vertical="center" textRotation="90"/>
    </xf>
    <xf numFmtId="9" fontId="3" fillId="0" borderId="0" xfId="1" applyFont="1" applyAlignment="1" applyProtection="1">
      <alignment horizontal="left"/>
    </xf>
    <xf numFmtId="0" fontId="8" fillId="0" borderId="0" xfId="0" applyFont="1" applyAlignment="1" applyProtection="1">
      <alignment horizontal="center" vertical="center" textRotation="90"/>
    </xf>
    <xf numFmtId="0" fontId="3" fillId="0" borderId="0" xfId="0" applyFont="1" applyBorder="1" applyProtection="1"/>
    <xf numFmtId="0" fontId="3" fillId="0" borderId="5" xfId="0" applyFont="1" applyBorder="1" applyProtection="1"/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3" fontId="3" fillId="0" borderId="0" xfId="0" applyNumberFormat="1" applyFont="1" applyProtection="1"/>
    <xf numFmtId="164" fontId="3" fillId="0" borderId="0" xfId="0" applyNumberFormat="1" applyFont="1" applyProtection="1"/>
    <xf numFmtId="6" fontId="3" fillId="0" borderId="0" xfId="0" applyNumberFormat="1" applyFont="1" applyProtection="1"/>
    <xf numFmtId="164" fontId="3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/>
    </xf>
    <xf numFmtId="3" fontId="10" fillId="0" borderId="0" xfId="0" applyNumberFormat="1" applyFont="1" applyFill="1" applyAlignment="1" applyProtection="1">
      <alignment horizontal="right"/>
    </xf>
    <xf numFmtId="169" fontId="3" fillId="0" borderId="0" xfId="0" applyNumberFormat="1" applyFont="1" applyProtection="1"/>
    <xf numFmtId="165" fontId="3" fillId="0" borderId="0" xfId="1" applyNumberFormat="1" applyFont="1" applyProtection="1"/>
    <xf numFmtId="0" fontId="3" fillId="0" borderId="0" xfId="0" applyFont="1" applyAlignment="1" applyProtection="1">
      <alignment horizontal="right"/>
    </xf>
    <xf numFmtId="164" fontId="3" fillId="0" borderId="0" xfId="0" applyNumberFormat="1" applyFont="1" applyAlignment="1" applyProtection="1"/>
    <xf numFmtId="166" fontId="3" fillId="0" borderId="0" xfId="0" applyNumberFormat="1" applyFo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 wrapText="1"/>
    </xf>
    <xf numFmtId="164" fontId="3" fillId="0" borderId="0" xfId="0" applyNumberFormat="1" applyFont="1" applyBorder="1" applyProtection="1"/>
    <xf numFmtId="0" fontId="3" fillId="0" borderId="0" xfId="0" applyFont="1" applyProtection="1">
      <protection locked="0"/>
    </xf>
    <xf numFmtId="165" fontId="3" fillId="0" borderId="0" xfId="1" applyNumberFormat="1" applyFont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/>
    </xf>
    <xf numFmtId="165" fontId="3" fillId="0" borderId="0" xfId="0" applyNumberFormat="1" applyFon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165" fontId="3" fillId="0" borderId="0" xfId="0" applyNumberFormat="1" applyFont="1" applyProtection="1"/>
    <xf numFmtId="167" fontId="3" fillId="2" borderId="0" xfId="0" applyNumberFormat="1" applyFont="1" applyFill="1" applyProtection="1"/>
    <xf numFmtId="165" fontId="3" fillId="2" borderId="0" xfId="0" applyNumberFormat="1" applyFont="1" applyFill="1" applyProtection="1"/>
    <xf numFmtId="0" fontId="3" fillId="2" borderId="0" xfId="0" applyFont="1" applyFill="1" applyProtection="1"/>
    <xf numFmtId="0" fontId="3" fillId="0" borderId="0" xfId="0" applyFont="1"/>
    <xf numFmtId="6" fontId="3" fillId="0" borderId="0" xfId="0" applyNumberFormat="1" applyFont="1"/>
    <xf numFmtId="165" fontId="10" fillId="0" borderId="0" xfId="1" applyNumberFormat="1" applyFont="1" applyProtection="1"/>
    <xf numFmtId="6" fontId="3" fillId="0" borderId="0" xfId="1" applyNumberFormat="1" applyFont="1" applyProtection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6" fillId="0" borderId="0" xfId="0" applyFont="1"/>
    <xf numFmtId="0" fontId="10" fillId="3" borderId="0" xfId="0" applyFont="1" applyFill="1"/>
    <xf numFmtId="0" fontId="8" fillId="3" borderId="0" xfId="0" applyFont="1" applyFill="1"/>
    <xf numFmtId="2" fontId="10" fillId="3" borderId="0" xfId="0" applyNumberFormat="1" applyFont="1" applyFill="1"/>
    <xf numFmtId="3" fontId="10" fillId="0" borderId="0" xfId="0" applyNumberFormat="1" applyFont="1" applyFill="1"/>
    <xf numFmtId="4" fontId="10" fillId="3" borderId="0" xfId="0" applyNumberFormat="1" applyFont="1" applyFill="1"/>
    <xf numFmtId="3" fontId="10" fillId="3" borderId="0" xfId="0" applyNumberFormat="1" applyFont="1" applyFill="1"/>
    <xf numFmtId="170" fontId="10" fillId="3" borderId="0" xfId="0" applyNumberFormat="1" applyFont="1" applyFill="1"/>
    <xf numFmtId="3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64" fontId="10" fillId="3" borderId="0" xfId="0" applyNumberFormat="1" applyFont="1" applyFill="1"/>
    <xf numFmtId="0" fontId="10" fillId="0" borderId="0" xfId="0" applyFont="1" applyFill="1"/>
    <xf numFmtId="164" fontId="10" fillId="0" borderId="0" xfId="0" applyNumberFormat="1" applyFont="1" applyFill="1"/>
    <xf numFmtId="165" fontId="10" fillId="0" borderId="0" xfId="1" applyNumberFormat="1" applyFont="1" applyFill="1" applyAlignment="1">
      <alignment horizontal="center"/>
    </xf>
    <xf numFmtId="0" fontId="8" fillId="3" borderId="0" xfId="0" applyFont="1" applyFill="1" applyAlignment="1">
      <alignment horizontal="right"/>
    </xf>
    <xf numFmtId="3" fontId="8" fillId="3" borderId="0" xfId="0" applyNumberFormat="1" applyFont="1" applyFill="1"/>
    <xf numFmtId="0" fontId="10" fillId="3" borderId="0" xfId="0" applyFont="1" applyFill="1" applyAlignment="1">
      <alignment horizontal="center"/>
    </xf>
    <xf numFmtId="164" fontId="10" fillId="3" borderId="0" xfId="0" applyNumberFormat="1" applyFont="1" applyFill="1" applyAlignment="1">
      <alignment horizontal="right"/>
    </xf>
    <xf numFmtId="168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right"/>
    </xf>
    <xf numFmtId="168" fontId="10" fillId="3" borderId="1" xfId="0" applyNumberFormat="1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3" fontId="8" fillId="0" borderId="0" xfId="0" applyNumberFormat="1" applyFont="1" applyFill="1"/>
    <xf numFmtId="0" fontId="3" fillId="0" borderId="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15" fillId="5" borderId="0" xfId="0" applyFont="1" applyFill="1" applyAlignment="1" applyProtection="1">
      <alignment horizontal="right" vertical="center"/>
    </xf>
    <xf numFmtId="9" fontId="15" fillId="5" borderId="0" xfId="0" applyNumberFormat="1" applyFont="1" applyFill="1" applyAlignment="1" applyProtection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4" fontId="3" fillId="5" borderId="0" xfId="0" applyNumberFormat="1" applyFont="1" applyFill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right" vertical="center"/>
    </xf>
    <xf numFmtId="0" fontId="15" fillId="0" borderId="0" xfId="0" applyFont="1" applyFill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9" fontId="8" fillId="6" borderId="0" xfId="1" applyFont="1" applyFill="1" applyAlignment="1">
      <alignment horizontal="center"/>
    </xf>
    <xf numFmtId="8" fontId="3" fillId="0" borderId="0" xfId="0" applyNumberFormat="1" applyFont="1"/>
    <xf numFmtId="0" fontId="9" fillId="2" borderId="4" xfId="0" applyFont="1" applyFill="1" applyBorder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right"/>
    </xf>
    <xf numFmtId="165" fontId="3" fillId="0" borderId="0" xfId="1" applyNumberFormat="1" applyFont="1" applyAlignment="1" applyProtection="1">
      <alignment horizontal="right"/>
    </xf>
    <xf numFmtId="164" fontId="9" fillId="0" borderId="0" xfId="0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/>
    </xf>
    <xf numFmtId="0" fontId="14" fillId="7" borderId="0" xfId="0" applyFont="1" applyFill="1" applyBorder="1" applyAlignment="1" applyProtection="1">
      <alignment horizontal="center" vertical="center" wrapText="1"/>
    </xf>
    <xf numFmtId="173" fontId="10" fillId="3" borderId="0" xfId="0" applyNumberFormat="1" applyFont="1" applyFill="1"/>
    <xf numFmtId="3" fontId="3" fillId="0" borderId="0" xfId="0" applyNumberFormat="1" applyFont="1" applyBorder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right"/>
    </xf>
    <xf numFmtId="0" fontId="3" fillId="0" borderId="5" xfId="0" applyFont="1" applyFill="1" applyBorder="1" applyAlignment="1" applyProtection="1">
      <alignment horizontal="right"/>
    </xf>
    <xf numFmtId="0" fontId="6" fillId="2" borderId="3" xfId="0" applyFont="1" applyFill="1" applyBorder="1" applyAlignment="1" applyProtection="1">
      <alignment horizontal="center" vertical="center"/>
    </xf>
    <xf numFmtId="164" fontId="3" fillId="0" borderId="0" xfId="0" applyNumberFormat="1" applyFont="1" applyAlignment="1">
      <alignment horizontal="center"/>
    </xf>
    <xf numFmtId="10" fontId="3" fillId="0" borderId="0" xfId="1" applyNumberFormat="1" applyFont="1"/>
    <xf numFmtId="9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9" fontId="10" fillId="0" borderId="0" xfId="1" applyFont="1" applyFill="1" applyAlignment="1">
      <alignment horizontal="right"/>
    </xf>
    <xf numFmtId="1" fontId="10" fillId="3" borderId="0" xfId="0" applyNumberFormat="1" applyFont="1" applyFill="1"/>
    <xf numFmtId="0" fontId="10" fillId="0" borderId="5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166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9" fontId="3" fillId="0" borderId="0" xfId="1" applyNumberFormat="1" applyFont="1" applyAlignment="1">
      <alignment horizontal="center" vertical="center"/>
    </xf>
    <xf numFmtId="168" fontId="3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Fill="1" applyProtection="1"/>
    <xf numFmtId="166" fontId="10" fillId="3" borderId="0" xfId="0" applyNumberFormat="1" applyFont="1" applyFill="1"/>
    <xf numFmtId="0" fontId="10" fillId="0" borderId="5" xfId="0" applyFont="1" applyFill="1" applyBorder="1" applyAlignment="1" applyProtection="1">
      <alignment horizontal="center" wrapText="1"/>
    </xf>
    <xf numFmtId="0" fontId="10" fillId="0" borderId="7" xfId="0" applyFont="1" applyFill="1" applyBorder="1" applyAlignment="1" applyProtection="1">
      <alignment horizont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/>
    <xf numFmtId="164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16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3" fontId="7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8" xfId="0" applyNumberFormat="1" applyFont="1" applyFill="1" applyBorder="1" applyAlignment="1" applyProtection="1">
      <alignment horizontal="center" vertical="center"/>
      <protection locked="0"/>
    </xf>
    <xf numFmtId="9" fontId="7" fillId="0" borderId="6" xfId="1" applyNumberFormat="1" applyFont="1" applyFill="1" applyBorder="1" applyAlignment="1" applyProtection="1">
      <alignment horizontal="center" vertical="center"/>
      <protection locked="0"/>
    </xf>
    <xf numFmtId="9" fontId="7" fillId="0" borderId="8" xfId="1" applyNumberFormat="1" applyFont="1" applyFill="1" applyBorder="1" applyAlignment="1" applyProtection="1">
      <alignment horizontal="center" vertical="center"/>
      <protection locked="0"/>
    </xf>
    <xf numFmtId="3" fontId="7" fillId="0" borderId="5" xfId="0" applyNumberFormat="1" applyFont="1" applyFill="1" applyBorder="1" applyAlignment="1" applyProtection="1">
      <alignment horizontal="center" vertical="center"/>
      <protection locked="0"/>
    </xf>
    <xf numFmtId="3" fontId="7" fillId="0" borderId="7" xfId="0" applyNumberFormat="1" applyFont="1" applyFill="1" applyBorder="1" applyAlignment="1" applyProtection="1">
      <alignment horizontal="center" vertical="center"/>
      <protection locked="0"/>
    </xf>
    <xf numFmtId="169" fontId="7" fillId="0" borderId="0" xfId="0" applyNumberFormat="1" applyFont="1" applyFill="1" applyBorder="1" applyAlignment="1" applyProtection="1">
      <alignment horizontal="center" vertical="center"/>
      <protection locked="0"/>
    </xf>
    <xf numFmtId="169" fontId="7" fillId="0" borderId="6" xfId="0" applyNumberFormat="1" applyFont="1" applyBorder="1" applyAlignment="1" applyProtection="1">
      <alignment horizontal="center" vertical="center"/>
      <protection locked="0"/>
    </xf>
    <xf numFmtId="9" fontId="7" fillId="0" borderId="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165" fontId="7" fillId="0" borderId="8" xfId="0" applyNumberFormat="1" applyFont="1" applyFill="1" applyBorder="1" applyAlignment="1" applyProtection="1">
      <alignment horizontal="center"/>
      <protection locked="0"/>
    </xf>
    <xf numFmtId="9" fontId="7" fillId="0" borderId="10" xfId="1" applyFont="1" applyFill="1" applyBorder="1" applyAlignment="1" applyProtection="1">
      <alignment horizontal="center"/>
      <protection locked="0"/>
    </xf>
    <xf numFmtId="164" fontId="16" fillId="0" borderId="0" xfId="0" applyNumberFormat="1" applyFont="1" applyFill="1" applyAlignment="1" applyProtection="1"/>
    <xf numFmtId="169" fontId="16" fillId="0" borderId="0" xfId="0" applyNumberFormat="1" applyFont="1" applyFill="1" applyAlignment="1" applyProtection="1"/>
    <xf numFmtId="0" fontId="6" fillId="0" borderId="0" xfId="0" applyFont="1" applyProtection="1"/>
    <xf numFmtId="168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/>
    </xf>
    <xf numFmtId="168" fontId="3" fillId="0" borderId="0" xfId="0" applyNumberFormat="1" applyFont="1" applyProtection="1"/>
    <xf numFmtId="168" fontId="3" fillId="0" borderId="0" xfId="0" applyNumberFormat="1" applyFont="1" applyAlignment="1" applyProtection="1">
      <alignment horizontal="center"/>
    </xf>
    <xf numFmtId="169" fontId="3" fillId="0" borderId="0" xfId="0" applyNumberFormat="1" applyFont="1" applyAlignment="1">
      <alignment horizontal="center"/>
    </xf>
    <xf numFmtId="0" fontId="5" fillId="5" borderId="0" xfId="0" applyFont="1" applyFill="1"/>
    <xf numFmtId="0" fontId="5" fillId="0" borderId="0" xfId="0" applyFont="1"/>
    <xf numFmtId="166" fontId="5" fillId="5" borderId="0" xfId="0" applyNumberFormat="1" applyFont="1" applyFill="1"/>
    <xf numFmtId="1" fontId="5" fillId="5" borderId="0" xfId="0" applyNumberFormat="1" applyFont="1" applyFill="1"/>
    <xf numFmtId="0" fontId="3" fillId="0" borderId="0" xfId="0" applyNumberFormat="1" applyFont="1" applyAlignment="1">
      <alignment horizontal="center" wrapText="1"/>
    </xf>
    <xf numFmtId="0" fontId="10" fillId="0" borderId="0" xfId="0" applyFont="1" applyFill="1" applyBorder="1" applyAlignment="1" applyProtection="1">
      <alignment horizontal="center" wrapText="1"/>
    </xf>
    <xf numFmtId="0" fontId="17" fillId="0" borderId="0" xfId="0" applyFont="1"/>
    <xf numFmtId="174" fontId="3" fillId="0" borderId="0" xfId="0" applyNumberFormat="1" applyFont="1"/>
    <xf numFmtId="9" fontId="7" fillId="0" borderId="0" xfId="1" applyNumberFormat="1" applyFont="1" applyFill="1" applyBorder="1" applyAlignment="1" applyProtection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/>
    </xf>
    <xf numFmtId="9" fontId="10" fillId="0" borderId="0" xfId="1" applyNumberFormat="1" applyFont="1" applyFill="1" applyBorder="1" applyAlignment="1" applyProtection="1">
      <alignment horizontal="center" vertical="center"/>
    </xf>
    <xf numFmtId="165" fontId="10" fillId="0" borderId="0" xfId="1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/>
      <protection locked="0"/>
    </xf>
    <xf numFmtId="1" fontId="3" fillId="0" borderId="0" xfId="1" applyNumberFormat="1" applyFont="1" applyAlignment="1" applyProtection="1">
      <alignment horizontal="right"/>
    </xf>
    <xf numFmtId="169" fontId="3" fillId="0" borderId="0" xfId="0" applyNumberFormat="1" applyFont="1" applyAlignment="1" applyProtection="1">
      <alignment horizontal="center"/>
    </xf>
    <xf numFmtId="0" fontId="5" fillId="7" borderId="2" xfId="0" applyFont="1" applyFill="1" applyBorder="1" applyAlignment="1" applyProtection="1">
      <alignment horizontal="center" wrapText="1"/>
    </xf>
    <xf numFmtId="0" fontId="5" fillId="7" borderId="4" xfId="0" applyFont="1" applyFill="1" applyBorder="1" applyAlignment="1" applyProtection="1">
      <alignment horizontal="center" wrapText="1"/>
    </xf>
    <xf numFmtId="168" fontId="10" fillId="3" borderId="0" xfId="0" applyNumberFormat="1" applyFont="1" applyFill="1" applyBorder="1" applyAlignment="1">
      <alignment horizontal="center" vertical="center"/>
    </xf>
    <xf numFmtId="0" fontId="6" fillId="0" borderId="5" xfId="0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right" vertical="center"/>
    </xf>
    <xf numFmtId="166" fontId="7" fillId="0" borderId="6" xfId="0" applyNumberFormat="1" applyFont="1" applyBorder="1" applyAlignment="1" applyProtection="1">
      <alignment horizontal="center" vertical="center"/>
      <protection locked="0"/>
    </xf>
    <xf numFmtId="165" fontId="10" fillId="3" borderId="0" xfId="1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172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" fontId="3" fillId="0" borderId="0" xfId="0" applyNumberFormat="1" applyFont="1"/>
    <xf numFmtId="165" fontId="10" fillId="3" borderId="1" xfId="1" applyNumberFormat="1" applyFont="1" applyFill="1" applyBorder="1" applyAlignment="1">
      <alignment horizontal="center"/>
    </xf>
    <xf numFmtId="165" fontId="10" fillId="3" borderId="0" xfId="0" applyNumberFormat="1" applyFont="1" applyFill="1"/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center"/>
    </xf>
    <xf numFmtId="165" fontId="10" fillId="3" borderId="0" xfId="1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right" vertical="center"/>
    </xf>
    <xf numFmtId="1" fontId="3" fillId="0" borderId="0" xfId="0" applyNumberFormat="1" applyFont="1"/>
    <xf numFmtId="0" fontId="5" fillId="7" borderId="2" xfId="0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/>
    </xf>
    <xf numFmtId="0" fontId="5" fillId="7" borderId="1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169" fontId="7" fillId="0" borderId="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>
      <alignment horizontal="center" vertical="center"/>
    </xf>
    <xf numFmtId="169" fontId="10" fillId="8" borderId="0" xfId="0" applyNumberFormat="1" applyFont="1" applyFill="1" applyBorder="1" applyAlignment="1" applyProtection="1">
      <alignment horizontal="center" vertical="center"/>
    </xf>
    <xf numFmtId="169" fontId="10" fillId="8" borderId="6" xfId="0" applyNumberFormat="1" applyFont="1" applyFill="1" applyBorder="1" applyAlignment="1" applyProtection="1">
      <alignment horizontal="center" vertical="center"/>
    </xf>
    <xf numFmtId="166" fontId="10" fillId="8" borderId="1" xfId="0" applyNumberFormat="1" applyFont="1" applyFill="1" applyBorder="1" applyAlignment="1" applyProtection="1">
      <alignment horizontal="center" vertical="center"/>
    </xf>
    <xf numFmtId="166" fontId="10" fillId="8" borderId="8" xfId="0" applyNumberFormat="1" applyFont="1" applyFill="1" applyBorder="1" applyAlignment="1" applyProtection="1">
      <alignment horizontal="center" vertical="center"/>
    </xf>
    <xf numFmtId="175" fontId="7" fillId="0" borderId="6" xfId="0" applyNumberFormat="1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9" fontId="7" fillId="0" borderId="0" xfId="1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vertical="center" readingOrder="1"/>
    </xf>
    <xf numFmtId="0" fontId="18" fillId="0" borderId="0" xfId="0" applyFont="1" applyBorder="1" applyAlignment="1" applyProtection="1">
      <alignment horizontal="center" vertical="center" readingOrder="1"/>
    </xf>
    <xf numFmtId="171" fontId="7" fillId="0" borderId="0" xfId="1" applyNumberFormat="1" applyFont="1" applyFill="1" applyBorder="1" applyAlignment="1" applyProtection="1">
      <alignment horizontal="center"/>
      <protection locked="0"/>
    </xf>
    <xf numFmtId="171" fontId="7" fillId="0" borderId="6" xfId="1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Border="1" applyAlignment="1" applyProtection="1">
      <alignment horizontal="center"/>
      <protection locked="0"/>
    </xf>
    <xf numFmtId="171" fontId="7" fillId="0" borderId="6" xfId="0" applyNumberFormat="1" applyFont="1" applyBorder="1" applyAlignment="1" applyProtection="1">
      <alignment horizontal="center"/>
      <protection locked="0"/>
    </xf>
    <xf numFmtId="171" fontId="7" fillId="0" borderId="1" xfId="0" applyNumberFormat="1" applyFont="1" applyBorder="1" applyAlignment="1" applyProtection="1">
      <alignment horizontal="center"/>
      <protection locked="0"/>
    </xf>
    <xf numFmtId="171" fontId="7" fillId="0" borderId="8" xfId="0" applyNumberFormat="1" applyFont="1" applyBorder="1" applyAlignment="1" applyProtection="1">
      <alignment horizontal="center"/>
      <protection locked="0"/>
    </xf>
    <xf numFmtId="171" fontId="3" fillId="0" borderId="0" xfId="0" applyNumberFormat="1" applyFont="1" applyBorder="1" applyProtection="1"/>
    <xf numFmtId="171" fontId="3" fillId="0" borderId="0" xfId="0" applyNumberFormat="1" applyFont="1" applyFill="1" applyBorder="1" applyProtection="1"/>
    <xf numFmtId="171" fontId="3" fillId="0" borderId="0" xfId="0" applyNumberFormat="1" applyFont="1" applyBorder="1" applyAlignment="1" applyProtection="1">
      <alignment horizontal="right"/>
    </xf>
    <xf numFmtId="171" fontId="3" fillId="0" borderId="0" xfId="0" applyNumberFormat="1" applyFont="1" applyProtection="1"/>
    <xf numFmtId="171" fontId="3" fillId="2" borderId="0" xfId="0" applyNumberFormat="1" applyFont="1" applyFill="1" applyProtection="1"/>
    <xf numFmtId="171" fontId="3" fillId="0" borderId="0" xfId="0" applyNumberFormat="1" applyFont="1" applyAlignment="1" applyProtection="1">
      <alignment horizontal="right"/>
      <protection locked="0"/>
    </xf>
    <xf numFmtId="171" fontId="3" fillId="0" borderId="0" xfId="0" applyNumberFormat="1" applyFont="1" applyFill="1" applyAlignment="1" applyProtection="1">
      <alignment horizontal="left"/>
    </xf>
    <xf numFmtId="171" fontId="3" fillId="0" borderId="0" xfId="0" applyNumberFormat="1" applyFont="1" applyAlignment="1" applyProtection="1">
      <alignment horizontal="left"/>
    </xf>
    <xf numFmtId="171" fontId="3" fillId="0" borderId="0" xfId="0" applyNumberFormat="1" applyFont="1" applyProtection="1">
      <protection locked="0"/>
    </xf>
    <xf numFmtId="164" fontId="6" fillId="0" borderId="0" xfId="0" applyNumberFormat="1" applyFont="1" applyAlignment="1" applyProtection="1">
      <alignment horizontal="center"/>
    </xf>
    <xf numFmtId="166" fontId="10" fillId="8" borderId="1" xfId="0" applyNumberFormat="1" applyFont="1" applyFill="1" applyBorder="1" applyAlignment="1" applyProtection="1">
      <alignment horizontal="center" vertical="center"/>
    </xf>
    <xf numFmtId="169" fontId="10" fillId="8" borderId="0" xfId="0" applyNumberFormat="1" applyFont="1" applyFill="1" applyBorder="1" applyAlignment="1" applyProtection="1">
      <alignment horizontal="center" vertical="center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/>
    </xf>
    <xf numFmtId="171" fontId="7" fillId="0" borderId="0" xfId="1" applyNumberFormat="1" applyFont="1" applyFill="1" applyBorder="1" applyAlignment="1" applyProtection="1">
      <alignment horizontal="center"/>
      <protection locked="0"/>
    </xf>
    <xf numFmtId="171" fontId="7" fillId="0" borderId="0" xfId="0" applyNumberFormat="1" applyFont="1" applyBorder="1" applyAlignment="1" applyProtection="1">
      <alignment horizontal="center"/>
      <protection locked="0"/>
    </xf>
    <xf numFmtId="171" fontId="7" fillId="0" borderId="1" xfId="0" applyNumberFormat="1" applyFont="1" applyBorder="1" applyAlignment="1" applyProtection="1">
      <alignment horizontal="center"/>
      <protection locked="0"/>
    </xf>
    <xf numFmtId="0" fontId="5" fillId="7" borderId="0" xfId="0" applyFont="1" applyFill="1" applyBorder="1" applyAlignment="1" applyProtection="1">
      <alignment horizontal="center" vertical="center"/>
    </xf>
    <xf numFmtId="0" fontId="5" fillId="7" borderId="0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/>
    </xf>
    <xf numFmtId="169" fontId="7" fillId="0" borderId="0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readingOrder="1"/>
    </xf>
    <xf numFmtId="0" fontId="5" fillId="7" borderId="2" xfId="0" applyFont="1" applyFill="1" applyBorder="1" applyAlignment="1" applyProtection="1">
      <alignment horizontal="center" vertical="center"/>
    </xf>
    <xf numFmtId="0" fontId="5" fillId="7" borderId="4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center"/>
    </xf>
    <xf numFmtId="0" fontId="6" fillId="6" borderId="4" xfId="0" applyFont="1" applyFill="1" applyBorder="1" applyAlignment="1" applyProtection="1">
      <alignment horizontal="center"/>
    </xf>
    <xf numFmtId="0" fontId="5" fillId="7" borderId="2" xfId="0" applyFont="1" applyFill="1" applyBorder="1" applyAlignment="1" applyProtection="1">
      <alignment horizontal="center"/>
    </xf>
    <xf numFmtId="0" fontId="5" fillId="7" borderId="3" xfId="0" applyFont="1" applyFill="1" applyBorder="1" applyAlignment="1" applyProtection="1">
      <alignment horizontal="center"/>
    </xf>
    <xf numFmtId="0" fontId="5" fillId="7" borderId="4" xfId="0" applyFont="1" applyFill="1" applyBorder="1" applyAlignment="1" applyProtection="1">
      <alignment horizontal="center"/>
    </xf>
    <xf numFmtId="0" fontId="5" fillId="7" borderId="9" xfId="0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center"/>
    </xf>
    <xf numFmtId="0" fontId="11" fillId="7" borderId="0" xfId="0" applyFont="1" applyFill="1" applyAlignment="1" applyProtection="1">
      <alignment horizontal="center" vertical="center" textRotation="90"/>
    </xf>
    <xf numFmtId="0" fontId="6" fillId="0" borderId="0" xfId="0" applyFont="1" applyBorder="1" applyAlignment="1" applyProtection="1">
      <alignment horizontal="right" vertical="center"/>
    </xf>
    <xf numFmtId="0" fontId="14" fillId="5" borderId="0" xfId="0" applyFont="1" applyFill="1" applyAlignment="1" applyProtection="1">
      <alignment horizontal="center"/>
    </xf>
    <xf numFmtId="0" fontId="6" fillId="6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/>
    </xf>
    <xf numFmtId="169" fontId="16" fillId="2" borderId="0" xfId="0" applyNumberFormat="1" applyFont="1" applyFill="1" applyAlignment="1" applyProtection="1">
      <alignment horizontal="center"/>
    </xf>
    <xf numFmtId="0" fontId="8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64" fontId="7" fillId="0" borderId="6" xfId="0" applyNumberFormat="1" applyFont="1" applyFill="1" applyBorder="1" applyAlignment="1" applyProtection="1">
      <alignment horizontal="center" vertical="center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4" fontId="13" fillId="0" borderId="6" xfId="0" applyNumberFormat="1" applyFont="1" applyFill="1" applyBorder="1" applyAlignment="1" applyProtection="1">
      <alignment horizontal="center" vertical="center"/>
      <protection locked="0"/>
    </xf>
    <xf numFmtId="164" fontId="13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Alignment="1" applyProtection="1">
      <alignment horizontal="center"/>
    </xf>
    <xf numFmtId="164" fontId="6" fillId="6" borderId="7" xfId="0" applyNumberFormat="1" applyFont="1" applyFill="1" applyBorder="1" applyAlignment="1" applyProtection="1">
      <alignment horizontal="center" vertical="center"/>
    </xf>
    <xf numFmtId="164" fontId="6" fillId="6" borderId="8" xfId="0" applyNumberFormat="1" applyFont="1" applyFill="1" applyBorder="1" applyAlignment="1" applyProtection="1">
      <alignment horizontal="center" vertical="center"/>
    </xf>
    <xf numFmtId="164" fontId="6" fillId="2" borderId="7" xfId="0" applyNumberFormat="1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164" fontId="9" fillId="2" borderId="8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Protection="1"/>
    <xf numFmtId="164" fontId="3" fillId="0" borderId="0" xfId="0" applyNumberFormat="1" applyFont="1" applyBorder="1" applyAlignment="1" applyProtection="1">
      <alignment horizontal="right"/>
    </xf>
    <xf numFmtId="164" fontId="3" fillId="0" borderId="0" xfId="1" applyNumberFormat="1" applyFont="1" applyBorder="1" applyAlignment="1" applyProtection="1">
      <alignment horizontal="right"/>
    </xf>
    <xf numFmtId="164" fontId="3" fillId="2" borderId="0" xfId="0" applyNumberFormat="1" applyFont="1" applyFill="1" applyProtection="1"/>
    <xf numFmtId="164" fontId="14" fillId="5" borderId="0" xfId="0" applyNumberFormat="1" applyFont="1" applyFill="1" applyAlignment="1" applyProtection="1">
      <alignment horizontal="center"/>
    </xf>
    <xf numFmtId="164" fontId="6" fillId="6" borderId="0" xfId="0" applyNumberFormat="1" applyFont="1" applyFill="1" applyAlignment="1" applyProtection="1">
      <alignment horizontal="center" vertical="center"/>
    </xf>
    <xf numFmtId="164" fontId="16" fillId="2" borderId="0" xfId="0" applyNumberFormat="1" applyFont="1" applyFill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>
                <a:latin typeface="Segoe UI Light" panose="020B0502040204020203" pitchFamily="34" charset="0"/>
                <a:cs typeface="Segoe UI Light" panose="020B0502040204020203" pitchFamily="34" charset="0"/>
              </a:rPr>
              <a:t>Margin Composition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'Key Business Variables'!$L$110</c:f>
              <c:strCache>
                <c:ptCount val="1"/>
                <c:pt idx="0">
                  <c:v>Dynamics 365 &amp; ISV Subscriptions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'Key Business Variables'!$M$109:$P$109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Variables'!$M$110:$P$110</c:f>
              <c:numCache>
                <c:formatCode>"$"#,##0</c:formatCode>
                <c:ptCount val="4"/>
                <c:pt idx="0">
                  <c:v>24305.319999999992</c:v>
                </c:pt>
                <c:pt idx="1">
                  <c:v>67961.414000000004</c:v>
                </c:pt>
                <c:pt idx="2">
                  <c:v>105609.68600000005</c:v>
                </c:pt>
                <c:pt idx="3">
                  <c:v>139293.49400000053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8-4B36-95FE-0EED0713293F}"/>
            </c:ext>
          </c:extLst>
        </c:ser>
        <c:ser>
          <c:idx val="1"/>
          <c:order val="1"/>
          <c:tx>
            <c:strRef>
              <c:f>'Key Business Variables'!$L$111</c:f>
              <c:strCache>
                <c:ptCount val="1"/>
                <c:pt idx="0">
                  <c:v>Own IP Subscriptions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'Key Business Variables'!$M$109:$P$109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Variables'!$M$111:$P$111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8-4B36-95FE-0EED0713293F}"/>
            </c:ext>
          </c:extLst>
        </c:ser>
        <c:ser>
          <c:idx val="2"/>
          <c:order val="2"/>
          <c:tx>
            <c:strRef>
              <c:f>'Key Business Variables'!$L$112</c:f>
              <c:strCache>
                <c:ptCount val="1"/>
                <c:pt idx="0">
                  <c:v>Solution Delivery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'Key Business Variables'!$M$109:$P$109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Variables'!$M$112:$P$112</c:f>
              <c:numCache>
                <c:formatCode>"$"#,##0</c:formatCode>
                <c:ptCount val="4"/>
                <c:pt idx="0">
                  <c:v>71900</c:v>
                </c:pt>
                <c:pt idx="1">
                  <c:v>71900</c:v>
                </c:pt>
                <c:pt idx="2">
                  <c:v>71900</c:v>
                </c:pt>
                <c:pt idx="3">
                  <c:v>71900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5-414B-8EE4-688944FBE7D2}"/>
            </c:ext>
          </c:extLst>
        </c:ser>
        <c:ser>
          <c:idx val="3"/>
          <c:order val="3"/>
          <c:tx>
            <c:strRef>
              <c:f>'Key Business Variables'!$L$113</c:f>
              <c:strCache>
                <c:ptCount val="1"/>
                <c:pt idx="0">
                  <c:v>Managed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'Key Business Variables'!$M$109:$P$109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Variables'!$M$113:$P$113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5-414B-8EE4-688944FBE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864320"/>
        <c:axId val="269864864"/>
      </c:barChart>
      <c:catAx>
        <c:axId val="269864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r>
                  <a:rPr lang="en-US">
                    <a:latin typeface="Segoe UI Light" panose="020B0502040204020203" pitchFamily="34" charset="0"/>
                    <a:cs typeface="Segoe UI Light" panose="020B0502040204020203" pitchFamily="34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 Light" panose="020B0502040204020203" pitchFamily="34" charset="0"/>
                  <a:ea typeface="+mn-ea"/>
                  <a:cs typeface="Segoe UI Light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269864864"/>
        <c:crosses val="autoZero"/>
        <c:auto val="1"/>
        <c:lblAlgn val="ctr"/>
        <c:lblOffset val="100"/>
        <c:noMultiLvlLbl val="0"/>
      </c:catAx>
      <c:valAx>
        <c:axId val="26986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26986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 baseline="0">
                <a:latin typeface="Segoe UI Light" panose="020B0502040204020203" pitchFamily="34" charset="0"/>
                <a:cs typeface="Segoe UI Light" panose="020B0502040204020203" pitchFamily="34" charset="0"/>
              </a:rPr>
              <a:t>Revenue Composition</a:t>
            </a:r>
            <a:endParaRPr lang="en-US">
              <a:latin typeface="Segoe UI Light" panose="020B0502040204020203" pitchFamily="34" charset="0"/>
              <a:cs typeface="Segoe UI Light" panose="020B05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'Key Business Variables'!$L$78</c:f>
              <c:strCache>
                <c:ptCount val="1"/>
                <c:pt idx="0">
                  <c:v>Dynamics 365 Subscriptions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'Key Business Variables'!$M$77:$P$77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Variables'!$M$78:$P$78</c:f>
              <c:numCache>
                <c:formatCode>"$"#,##0</c:formatCode>
                <c:ptCount val="4"/>
                <c:pt idx="0">
                  <c:v>64854.400000000001</c:v>
                </c:pt>
                <c:pt idx="1">
                  <c:v>181342.88</c:v>
                </c:pt>
                <c:pt idx="2">
                  <c:v>295087.52000000019</c:v>
                </c:pt>
                <c:pt idx="3">
                  <c:v>408832.16000000038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6-4F5C-9803-1BF49F1F79D0}"/>
            </c:ext>
          </c:extLst>
        </c:ser>
        <c:ser>
          <c:idx val="1"/>
          <c:order val="1"/>
          <c:tx>
            <c:strRef>
              <c:f>'Key Business Variables'!$L$79</c:f>
              <c:strCache>
                <c:ptCount val="1"/>
                <c:pt idx="0">
                  <c:v>ISV Subscriptions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'Key Business Variables'!$M$77:$P$77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Variables'!$M$79:$P$79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7-4979-B7AD-AB65CA0F9CB1}"/>
            </c:ext>
          </c:extLst>
        </c:ser>
        <c:ser>
          <c:idx val="2"/>
          <c:order val="2"/>
          <c:tx>
            <c:strRef>
              <c:f>'Key Business Variables'!$L$80</c:f>
              <c:strCache>
                <c:ptCount val="1"/>
                <c:pt idx="0">
                  <c:v>Own IP Subscriptions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'Key Business Variables'!$M$77:$P$77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Variables'!$M$80:$P$80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287-4979-B7AD-AB65CA0F9CB1}"/>
            </c:ext>
          </c:extLst>
        </c:ser>
        <c:ser>
          <c:idx val="3"/>
          <c:order val="3"/>
          <c:tx>
            <c:strRef>
              <c:f>'Key Business Variables'!$L$81</c:f>
              <c:strCache>
                <c:ptCount val="1"/>
                <c:pt idx="0">
                  <c:v>Solution Delivery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'Key Business Variables'!$M$77:$P$77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Variables'!$M$81:$P$81</c:f>
              <c:numCache>
                <c:formatCode>"$"#,##0</c:formatCode>
                <c:ptCount val="4"/>
                <c:pt idx="0">
                  <c:v>126900</c:v>
                </c:pt>
                <c:pt idx="1">
                  <c:v>126900</c:v>
                </c:pt>
                <c:pt idx="2">
                  <c:v>126900</c:v>
                </c:pt>
                <c:pt idx="3">
                  <c:v>126900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7-4979-B7AD-AB65CA0F9CB1}"/>
            </c:ext>
          </c:extLst>
        </c:ser>
        <c:ser>
          <c:idx val="4"/>
          <c:order val="4"/>
          <c:tx>
            <c:strRef>
              <c:f>'Key Business Variables'!$L$82</c:f>
              <c:strCache>
                <c:ptCount val="1"/>
                <c:pt idx="0">
                  <c:v>Managed Services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'Key Business Variables'!$M$77:$P$77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'Key Business Variables'!$M$82:$P$82</c:f>
              <c:numCache>
                <c:formatCode>"$"#,##0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62-4E20-9A95-84DB08C96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692288"/>
        <c:axId val="339689568"/>
        <c:extLst/>
      </c:barChart>
      <c:catAx>
        <c:axId val="33969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r>
                  <a:rPr lang="en-US">
                    <a:latin typeface="Segoe UI Light" panose="020B0502040204020203" pitchFamily="34" charset="0"/>
                    <a:cs typeface="Segoe UI Light" panose="020B0502040204020203" pitchFamily="34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 Light" panose="020B0502040204020203" pitchFamily="34" charset="0"/>
                  <a:ea typeface="+mn-ea"/>
                  <a:cs typeface="Segoe UI Light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339689568"/>
        <c:crossesAt val="0"/>
        <c:auto val="1"/>
        <c:lblAlgn val="ctr"/>
        <c:lblOffset val="100"/>
        <c:noMultiLvlLbl val="0"/>
      </c:catAx>
      <c:valAx>
        <c:axId val="33968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33969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>
                    <a:lumMod val="50000"/>
                  </a:schemeClr>
                </a:solidFill>
                <a:latin typeface="Segoe UI Light" panose="020B0502040204020203" pitchFamily="34" charset="0"/>
                <a:cs typeface="Segoe UI Light" panose="020B0502040204020203" pitchFamily="34" charset="0"/>
              </a:defRPr>
            </a:pPr>
            <a:r>
              <a:rPr lang="en-US">
                <a:latin typeface="Segoe UI Light" panose="020B0502040204020203" pitchFamily="34" charset="0"/>
                <a:cs typeface="Segoe UI Light" panose="020B0502040204020203" pitchFamily="34" charset="0"/>
              </a:rPr>
              <a:t>Monthly Incremental Cumulative Cash Flow</a:t>
            </a:r>
          </a:p>
        </c:rich>
      </c:tx>
      <c:layout>
        <c:manualLayout>
          <c:xMode val="edge"/>
          <c:yMode val="edge"/>
          <c:x val="0.31345695716877175"/>
          <c:y val="0.2134251290877796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8466325320235E-2"/>
          <c:y val="2.5304888171029903E-2"/>
          <c:w val="0.93619047051366877"/>
          <c:h val="0.85529953334146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'Cash Flow Impact'!$B$52</c:f>
              <c:strCache>
                <c:ptCount val="1"/>
                <c:pt idx="0">
                  <c:v>Monthly Cumulative Cash Flow</c:v>
                </c:pt>
              </c:strCache>
            </c:strRef>
          </c:tx>
          <c:spPr>
            <a:ln w="25400">
              <a:noFill/>
            </a:ln>
          </c:spPr>
          <c:invertIfNegative val="0"/>
          <c:val>
            <c:numRef>
              <c:f>'Cash Flow Impact'!$C$52:$AX$52</c:f>
              <c:numCache>
                <c:formatCode>"$"#,##0</c:formatCode>
                <c:ptCount val="48"/>
                <c:pt idx="0">
                  <c:v>-3073.6533333333318</c:v>
                </c:pt>
                <c:pt idx="1">
                  <c:v>-5865.6999999999971</c:v>
                </c:pt>
                <c:pt idx="2">
                  <c:v>-8376.1399999999958</c:v>
                </c:pt>
                <c:pt idx="3">
                  <c:v>-10604.973333333328</c:v>
                </c:pt>
                <c:pt idx="4">
                  <c:v>-12552.199999999993</c:v>
                </c:pt>
                <c:pt idx="5">
                  <c:v>-14217.819999999992</c:v>
                </c:pt>
                <c:pt idx="6">
                  <c:v>-15601.833333333325</c:v>
                </c:pt>
                <c:pt idx="7">
                  <c:v>-16704.239999999991</c:v>
                </c:pt>
                <c:pt idx="8">
                  <c:v>-17525.03999999999</c:v>
                </c:pt>
                <c:pt idx="9">
                  <c:v>-18064.233333333326</c:v>
                </c:pt>
                <c:pt idx="10">
                  <c:v>-18321.819999999996</c:v>
                </c:pt>
                <c:pt idx="11">
                  <c:v>-18297.799999999996</c:v>
                </c:pt>
                <c:pt idx="12">
                  <c:v>-18207.30566666666</c:v>
                </c:pt>
                <c:pt idx="13">
                  <c:v>-18050.336999999992</c:v>
                </c:pt>
                <c:pt idx="14">
                  <c:v>-17826.893999999993</c:v>
                </c:pt>
                <c:pt idx="15">
                  <c:v>-17536.976666666655</c:v>
                </c:pt>
                <c:pt idx="16">
                  <c:v>-17180.584999999985</c:v>
                </c:pt>
                <c:pt idx="17">
                  <c:v>-16757.718999999983</c:v>
                </c:pt>
                <c:pt idx="18">
                  <c:v>-16268.378666666649</c:v>
                </c:pt>
                <c:pt idx="19">
                  <c:v>-15712.56399999998</c:v>
                </c:pt>
                <c:pt idx="20">
                  <c:v>-15090.274999999972</c:v>
                </c:pt>
                <c:pt idx="21">
                  <c:v>-14401.511666666633</c:v>
                </c:pt>
                <c:pt idx="22">
                  <c:v>-13646.273999999965</c:v>
                </c:pt>
                <c:pt idx="23">
                  <c:v>-12824.561999999962</c:v>
                </c:pt>
                <c:pt idx="24">
                  <c:v>-11990.238066666621</c:v>
                </c:pt>
                <c:pt idx="25">
                  <c:v>-11143.302199999955</c:v>
                </c:pt>
                <c:pt idx="26">
                  <c:v>-10283.754399999947</c:v>
                </c:pt>
                <c:pt idx="27">
                  <c:v>-9411.5946666666059</c:v>
                </c:pt>
                <c:pt idx="28">
                  <c:v>-8526.8229999999239</c:v>
                </c:pt>
                <c:pt idx="29">
                  <c:v>-7629.4393999999156</c:v>
                </c:pt>
                <c:pt idx="30">
                  <c:v>-6719.4438666665737</c:v>
                </c:pt>
                <c:pt idx="31">
                  <c:v>-5796.8363999998983</c:v>
                </c:pt>
                <c:pt idx="32">
                  <c:v>-4861.6169999998892</c:v>
                </c:pt>
                <c:pt idx="33">
                  <c:v>-3913.7856666665466</c:v>
                </c:pt>
                <c:pt idx="34">
                  <c:v>-2953.3423999998704</c:v>
                </c:pt>
                <c:pt idx="35">
                  <c:v>-1980.2871999998606</c:v>
                </c:pt>
                <c:pt idx="36">
                  <c:v>-991.4280666665145</c:v>
                </c:pt>
                <c:pt idx="37">
                  <c:v>13.235000000167929</c:v>
                </c:pt>
                <c:pt idx="38">
                  <c:v>1033.7020000001794</c:v>
                </c:pt>
                <c:pt idx="39">
                  <c:v>2069.9729333335272</c:v>
                </c:pt>
                <c:pt idx="40">
                  <c:v>3122.0478000002113</c:v>
                </c:pt>
                <c:pt idx="41">
                  <c:v>4189.9266000002317</c:v>
                </c:pt>
                <c:pt idx="42">
                  <c:v>5273.6093333335884</c:v>
                </c:pt>
                <c:pt idx="43">
                  <c:v>6373.0960000002669</c:v>
                </c:pt>
                <c:pt idx="44">
                  <c:v>7488.386600000289</c:v>
                </c:pt>
                <c:pt idx="45">
                  <c:v>8619.4811333336329</c:v>
                </c:pt>
                <c:pt idx="46">
                  <c:v>9766.3796000003204</c:v>
                </c:pt>
                <c:pt idx="47">
                  <c:v>10929.082000000344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4-48CE-8E21-DB60FBC55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693376"/>
        <c:axId val="339691200"/>
      </c:barChart>
      <c:catAx>
        <c:axId val="33969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Segoe UI Light" panose="020B0502040204020203" pitchFamily="34" charset="0"/>
                    <a:cs typeface="Segoe UI Light" panose="020B0502040204020203" pitchFamily="34" charset="0"/>
                  </a:defRPr>
                </a:pPr>
                <a:r>
                  <a:rPr lang="en-US">
                    <a:latin typeface="Segoe UI Light" panose="020B0502040204020203" pitchFamily="34" charset="0"/>
                    <a:cs typeface="Segoe UI Light" panose="020B0502040204020203" pitchFamily="34" charset="0"/>
                  </a:rPr>
                  <a:t>Month</a:t>
                </a:r>
              </a:p>
            </c:rich>
          </c:tx>
          <c:layout>
            <c:manualLayout>
              <c:xMode val="edge"/>
              <c:yMode val="edge"/>
              <c:x val="0.47068318958237715"/>
              <c:y val="0.93762460415339643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latin typeface="Segoe UI Light" panose="020B0502040204020203" pitchFamily="34" charset="0"/>
                <a:cs typeface="Segoe UI Light" panose="020B0502040204020203" pitchFamily="34" charset="0"/>
              </a:defRPr>
            </a:pPr>
            <a:endParaRPr lang="en-US"/>
          </a:p>
        </c:txPr>
        <c:crossAx val="339691200"/>
        <c:crosses val="autoZero"/>
        <c:auto val="1"/>
        <c:lblAlgn val="ctr"/>
        <c:lblOffset val="100"/>
        <c:noMultiLvlLbl val="0"/>
      </c:catAx>
      <c:valAx>
        <c:axId val="339691200"/>
        <c:scaling>
          <c:orientation val="minMax"/>
        </c:scaling>
        <c:delete val="0"/>
        <c:axPos val="l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Segoe UI Light" panose="020B0502040204020203" pitchFamily="34" charset="0"/>
                <a:cs typeface="Segoe UI Light" panose="020B0502040204020203" pitchFamily="34" charset="0"/>
              </a:defRPr>
            </a:pPr>
            <a:endParaRPr lang="en-US"/>
          </a:p>
        </c:txPr>
        <c:crossAx val="33969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 b="1">
                <a:latin typeface="Segoe UI Light" panose="020B0502040204020203" pitchFamily="34" charset="0"/>
                <a:cs typeface="Segoe UI Light" panose="020B0502040204020203" pitchFamily="34" charset="0"/>
              </a:rPr>
              <a:t>Partner</a:t>
            </a:r>
            <a:r>
              <a:rPr lang="en-US" b="1" baseline="0">
                <a:latin typeface="Segoe UI Light" panose="020B0502040204020203" pitchFamily="34" charset="0"/>
                <a:cs typeface="Segoe UI Light" panose="020B0502040204020203" pitchFamily="34" charset="0"/>
              </a:rPr>
              <a:t> </a:t>
            </a:r>
            <a:r>
              <a:rPr lang="en-US" b="1">
                <a:latin typeface="Segoe UI Light" panose="020B0502040204020203" pitchFamily="34" charset="0"/>
                <a:cs typeface="Segoe UI Light" panose="020B0502040204020203" pitchFamily="34" charset="0"/>
              </a:rPr>
              <a:t>Annual Revenue &amp; Margin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'Deal Anatomies'!$C$35</c:f>
              <c:strCache>
                <c:ptCount val="1"/>
                <c:pt idx="0">
                  <c:v>Annual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('Deal Anatomies'!$B$36:$B$37,'Deal Anatomies'!$B$40)</c:f>
              <c:strCache>
                <c:ptCount val="3"/>
                <c:pt idx="0">
                  <c:v>Maintenance per Existing Customer</c:v>
                </c:pt>
                <c:pt idx="1">
                  <c:v>Total D365 Subscription per Converted Customer</c:v>
                </c:pt>
                <c:pt idx="2">
                  <c:v>Total D365 Subscription per New Customer</c:v>
                </c:pt>
              </c:strCache>
            </c:strRef>
          </c:cat>
          <c:val>
            <c:numRef>
              <c:f>('Deal Anatomies'!$C$36:$C$37,'Deal Anatomies'!$C$40)</c:f>
              <c:numCache>
                <c:formatCode>"$"#,##0</c:formatCode>
                <c:ptCount val="3"/>
                <c:pt idx="0">
                  <c:v>4800</c:v>
                </c:pt>
                <c:pt idx="1">
                  <c:v>7962.2399999999989</c:v>
                </c:pt>
                <c:pt idx="2">
                  <c:v>5328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A-47C3-8DB8-16B651284BF9}"/>
            </c:ext>
          </c:extLst>
        </c:ser>
        <c:ser>
          <c:idx val="1"/>
          <c:order val="1"/>
          <c:tx>
            <c:strRef>
              <c:f>'Deal Anatomies'!$D$35</c:f>
              <c:strCache>
                <c:ptCount val="1"/>
                <c:pt idx="0">
                  <c:v>Annual Margin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('Deal Anatomies'!$B$36:$B$37,'Deal Anatomies'!$B$40)</c:f>
              <c:strCache>
                <c:ptCount val="3"/>
                <c:pt idx="0">
                  <c:v>Maintenance per Existing Customer</c:v>
                </c:pt>
                <c:pt idx="1">
                  <c:v>Total D365 Subscription per Converted Customer</c:v>
                </c:pt>
                <c:pt idx="2">
                  <c:v>Total D365 Subscription per New Customer</c:v>
                </c:pt>
              </c:strCache>
            </c:strRef>
          </c:cat>
          <c:val>
            <c:numRef>
              <c:f>('Deal Anatomies'!$D$36:$D$37,'Deal Anatomies'!$D$40)</c:f>
              <c:numCache>
                <c:formatCode>"$"#,##0</c:formatCode>
                <c:ptCount val="3"/>
                <c:pt idx="0">
                  <c:v>864</c:v>
                </c:pt>
                <c:pt idx="1">
                  <c:v>2985.8399999999997</c:v>
                </c:pt>
                <c:pt idx="2">
                  <c:v>1935.84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A-47C3-8DB8-16B651284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2990232"/>
        <c:axId val="582993512"/>
      </c:barChart>
      <c:catAx>
        <c:axId val="582990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582993512"/>
        <c:crosses val="autoZero"/>
        <c:auto val="1"/>
        <c:lblAlgn val="ctr"/>
        <c:lblOffset val="100"/>
        <c:noMultiLvlLbl val="0"/>
      </c:catAx>
      <c:valAx>
        <c:axId val="582993512"/>
        <c:scaling>
          <c:orientation val="minMax"/>
        </c:scaling>
        <c:delete val="1"/>
        <c:axPos val="b"/>
        <c:numFmt formatCode="&quot;$&quot;#,##0" sourceLinked="1"/>
        <c:majorTickMark val="none"/>
        <c:minorTickMark val="none"/>
        <c:tickLblPos val="nextTo"/>
        <c:crossAx val="58299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 b="1">
                <a:latin typeface="Segoe UI Light" panose="020B0502040204020203" pitchFamily="34" charset="0"/>
                <a:cs typeface="Segoe UI Light" panose="020B0502040204020203" pitchFamily="34" charset="0"/>
              </a:rPr>
              <a:t>Cumulative Partner Margin (Licenses Only)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'Deal Anatomies'!$B$53</c:f>
              <c:strCache>
                <c:ptCount val="1"/>
                <c:pt idx="0">
                  <c:v>New Perpetual Deal</c:v>
                </c:pt>
              </c:strCache>
            </c:strRef>
          </c:tx>
          <c:marker>
            <c:symbol val="none"/>
          </c:marker>
          <c:cat>
            <c:numRef>
              <c:f>'Deal Anatomies'!$C$45:$AX$45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'Deal Anatomies'!$C$53:$AX$53</c:f>
              <c:numCache>
                <c:formatCode>"$"#,##0</c:formatCode>
                <c:ptCount val="48"/>
                <c:pt idx="0">
                  <c:v>6300</c:v>
                </c:pt>
                <c:pt idx="1">
                  <c:v>6300</c:v>
                </c:pt>
                <c:pt idx="2">
                  <c:v>6300</c:v>
                </c:pt>
                <c:pt idx="3">
                  <c:v>6300</c:v>
                </c:pt>
                <c:pt idx="4">
                  <c:v>6300</c:v>
                </c:pt>
                <c:pt idx="5">
                  <c:v>6300</c:v>
                </c:pt>
                <c:pt idx="6">
                  <c:v>6300</c:v>
                </c:pt>
                <c:pt idx="7">
                  <c:v>6300</c:v>
                </c:pt>
                <c:pt idx="8">
                  <c:v>6300</c:v>
                </c:pt>
                <c:pt idx="9">
                  <c:v>6300</c:v>
                </c:pt>
                <c:pt idx="10">
                  <c:v>6300</c:v>
                </c:pt>
                <c:pt idx="11">
                  <c:v>6300</c:v>
                </c:pt>
                <c:pt idx="12">
                  <c:v>6343.2</c:v>
                </c:pt>
                <c:pt idx="13">
                  <c:v>6386.4</c:v>
                </c:pt>
                <c:pt idx="14">
                  <c:v>6429.5999999999995</c:v>
                </c:pt>
                <c:pt idx="15">
                  <c:v>6472.7999999999993</c:v>
                </c:pt>
                <c:pt idx="16">
                  <c:v>6515.9999999999991</c:v>
                </c:pt>
                <c:pt idx="17">
                  <c:v>6559.1999999999989</c:v>
                </c:pt>
                <c:pt idx="18">
                  <c:v>6602.3999999999987</c:v>
                </c:pt>
                <c:pt idx="19">
                  <c:v>6645.5999999999985</c:v>
                </c:pt>
                <c:pt idx="20">
                  <c:v>6688.7999999999984</c:v>
                </c:pt>
                <c:pt idx="21">
                  <c:v>6731.9999999999982</c:v>
                </c:pt>
                <c:pt idx="22">
                  <c:v>6775.199999999998</c:v>
                </c:pt>
                <c:pt idx="23">
                  <c:v>6818.3999999999978</c:v>
                </c:pt>
                <c:pt idx="24">
                  <c:v>6861.5999999999976</c:v>
                </c:pt>
                <c:pt idx="25">
                  <c:v>6904.7999999999975</c:v>
                </c:pt>
                <c:pt idx="26">
                  <c:v>6947.9999999999973</c:v>
                </c:pt>
                <c:pt idx="27">
                  <c:v>6991.1999999999971</c:v>
                </c:pt>
                <c:pt idx="28">
                  <c:v>7034.3999999999969</c:v>
                </c:pt>
                <c:pt idx="29">
                  <c:v>7077.5999999999967</c:v>
                </c:pt>
                <c:pt idx="30">
                  <c:v>7120.7999999999965</c:v>
                </c:pt>
                <c:pt idx="31">
                  <c:v>7163.9999999999964</c:v>
                </c:pt>
                <c:pt idx="32">
                  <c:v>7207.1999999999962</c:v>
                </c:pt>
                <c:pt idx="33">
                  <c:v>7250.399999999996</c:v>
                </c:pt>
                <c:pt idx="34">
                  <c:v>7293.5999999999958</c:v>
                </c:pt>
                <c:pt idx="35">
                  <c:v>7336.7999999999956</c:v>
                </c:pt>
                <c:pt idx="36">
                  <c:v>7379.9999999999955</c:v>
                </c:pt>
                <c:pt idx="37">
                  <c:v>7423.1999999999953</c:v>
                </c:pt>
                <c:pt idx="38">
                  <c:v>7466.3999999999951</c:v>
                </c:pt>
                <c:pt idx="39">
                  <c:v>7509.5999999999949</c:v>
                </c:pt>
                <c:pt idx="40">
                  <c:v>7552.7999999999947</c:v>
                </c:pt>
                <c:pt idx="41">
                  <c:v>7595.9999999999945</c:v>
                </c:pt>
                <c:pt idx="42">
                  <c:v>7639.1999999999944</c:v>
                </c:pt>
                <c:pt idx="43">
                  <c:v>7682.3999999999942</c:v>
                </c:pt>
                <c:pt idx="44">
                  <c:v>7725.599999999994</c:v>
                </c:pt>
                <c:pt idx="45">
                  <c:v>7768.7999999999938</c:v>
                </c:pt>
                <c:pt idx="46">
                  <c:v>7811.9999999999936</c:v>
                </c:pt>
                <c:pt idx="47">
                  <c:v>7855.1999999999935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EF7-44C8-9B96-056E03B664B0}"/>
            </c:ext>
          </c:extLst>
        </c:ser>
        <c:ser>
          <c:idx val="3"/>
          <c:order val="1"/>
          <c:tx>
            <c:strRef>
              <c:f>'Deal Anatomies'!$B$54</c:f>
              <c:strCache>
                <c:ptCount val="1"/>
                <c:pt idx="0">
                  <c:v>New D365 Deal</c:v>
                </c:pt>
              </c:strCache>
            </c:strRef>
          </c:tx>
          <c:marker>
            <c:symbol val="none"/>
          </c:marker>
          <c:cat>
            <c:numRef>
              <c:f>'Deal Anatomies'!$C$45:$AX$45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'Deal Anatomies'!$C$54:$AX$54</c:f>
              <c:numCache>
                <c:formatCode>"$"#,##0</c:formatCode>
                <c:ptCount val="48"/>
                <c:pt idx="0">
                  <c:v>165.6</c:v>
                </c:pt>
                <c:pt idx="1">
                  <c:v>331.2</c:v>
                </c:pt>
                <c:pt idx="2">
                  <c:v>496.79999999999995</c:v>
                </c:pt>
                <c:pt idx="3">
                  <c:v>662.4</c:v>
                </c:pt>
                <c:pt idx="4">
                  <c:v>828</c:v>
                </c:pt>
                <c:pt idx="5">
                  <c:v>993.6</c:v>
                </c:pt>
                <c:pt idx="6">
                  <c:v>1159.2</c:v>
                </c:pt>
                <c:pt idx="7">
                  <c:v>1324.8</c:v>
                </c:pt>
                <c:pt idx="8">
                  <c:v>1490.3999999999999</c:v>
                </c:pt>
                <c:pt idx="9">
                  <c:v>1655.9999999999998</c:v>
                </c:pt>
                <c:pt idx="10">
                  <c:v>1821.5999999999997</c:v>
                </c:pt>
                <c:pt idx="11">
                  <c:v>1987.1999999999996</c:v>
                </c:pt>
                <c:pt idx="12">
                  <c:v>2152.7999999999997</c:v>
                </c:pt>
                <c:pt idx="13">
                  <c:v>2318.3999999999996</c:v>
                </c:pt>
                <c:pt idx="14">
                  <c:v>2483.9999999999995</c:v>
                </c:pt>
                <c:pt idx="15">
                  <c:v>2649.5999999999995</c:v>
                </c:pt>
                <c:pt idx="16">
                  <c:v>2815.1999999999994</c:v>
                </c:pt>
                <c:pt idx="17">
                  <c:v>2980.7999999999993</c:v>
                </c:pt>
                <c:pt idx="18">
                  <c:v>3146.3999999999992</c:v>
                </c:pt>
                <c:pt idx="19">
                  <c:v>3311.9999999999991</c:v>
                </c:pt>
                <c:pt idx="20">
                  <c:v>3477.599999999999</c:v>
                </c:pt>
                <c:pt idx="21">
                  <c:v>3643.1999999999989</c:v>
                </c:pt>
                <c:pt idx="22">
                  <c:v>3808.7999999999988</c:v>
                </c:pt>
                <c:pt idx="23">
                  <c:v>3974.3999999999987</c:v>
                </c:pt>
                <c:pt idx="24">
                  <c:v>4139.9999999999991</c:v>
                </c:pt>
                <c:pt idx="25">
                  <c:v>4305.5999999999995</c:v>
                </c:pt>
                <c:pt idx="26">
                  <c:v>4471.2</c:v>
                </c:pt>
                <c:pt idx="27">
                  <c:v>4636.8</c:v>
                </c:pt>
                <c:pt idx="28">
                  <c:v>4802.4000000000005</c:v>
                </c:pt>
                <c:pt idx="29">
                  <c:v>4968.0000000000009</c:v>
                </c:pt>
                <c:pt idx="30">
                  <c:v>5133.6000000000013</c:v>
                </c:pt>
                <c:pt idx="31">
                  <c:v>5299.2000000000016</c:v>
                </c:pt>
                <c:pt idx="32">
                  <c:v>5464.800000000002</c:v>
                </c:pt>
                <c:pt idx="33">
                  <c:v>5630.4000000000024</c:v>
                </c:pt>
                <c:pt idx="34">
                  <c:v>5796.0000000000027</c:v>
                </c:pt>
                <c:pt idx="35">
                  <c:v>5961.6000000000031</c:v>
                </c:pt>
                <c:pt idx="36">
                  <c:v>6127.2000000000035</c:v>
                </c:pt>
                <c:pt idx="37">
                  <c:v>6292.8000000000038</c:v>
                </c:pt>
                <c:pt idx="38">
                  <c:v>6458.4000000000042</c:v>
                </c:pt>
                <c:pt idx="39">
                  <c:v>6624.0000000000045</c:v>
                </c:pt>
                <c:pt idx="40">
                  <c:v>6789.6000000000049</c:v>
                </c:pt>
                <c:pt idx="41">
                  <c:v>6955.2000000000053</c:v>
                </c:pt>
                <c:pt idx="42">
                  <c:v>7120.8000000000056</c:v>
                </c:pt>
                <c:pt idx="43">
                  <c:v>7286.400000000006</c:v>
                </c:pt>
                <c:pt idx="44">
                  <c:v>7452.0000000000064</c:v>
                </c:pt>
                <c:pt idx="45">
                  <c:v>7617.6000000000067</c:v>
                </c:pt>
                <c:pt idx="46">
                  <c:v>7783.2000000000071</c:v>
                </c:pt>
                <c:pt idx="47">
                  <c:v>7948.8000000000075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EF7-44C8-9B96-056E03B66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715376"/>
        <c:axId val="763717672"/>
      </c:lineChart>
      <c:catAx>
        <c:axId val="76371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r>
                  <a:rPr lang="en-US">
                    <a:latin typeface="Segoe UI Light" panose="020B0502040204020203" pitchFamily="34" charset="0"/>
                    <a:cs typeface="Segoe UI Light" panose="020B0502040204020203" pitchFamily="34" charset="0"/>
                  </a:rPr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763717672"/>
        <c:crosses val="autoZero"/>
        <c:auto val="1"/>
        <c:lblAlgn val="ctr"/>
        <c:lblOffset val="100"/>
        <c:noMultiLvlLbl val="0"/>
      </c:catAx>
      <c:valAx>
        <c:axId val="76371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763715376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 b="1">
                <a:latin typeface="Segoe UI Light" panose="020B0502040204020203" pitchFamily="34" charset="0"/>
                <a:cs typeface="Segoe UI Light" panose="020B0502040204020203" pitchFamily="34" charset="0"/>
              </a:rPr>
              <a:t>Cumulative Customer Cost (Licenses Only)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'Deal Anatomies'!$B$62</c:f>
              <c:strCache>
                <c:ptCount val="1"/>
                <c:pt idx="0">
                  <c:v>New Perpetual Deal</c:v>
                </c:pt>
              </c:strCache>
            </c:strRef>
          </c:tx>
          <c:marker>
            <c:symbol val="none"/>
          </c:marker>
          <c:cat>
            <c:numRef>
              <c:f>'Deal Anatomies'!$C$45:$AX$45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'Deal Anatomies'!$C$62:$AX$62</c:f>
              <c:numCache>
                <c:formatCode>"$"#,##0</c:formatCode>
                <c:ptCount val="48"/>
                <c:pt idx="0">
                  <c:v>18000</c:v>
                </c:pt>
                <c:pt idx="1">
                  <c:v>18000</c:v>
                </c:pt>
                <c:pt idx="2">
                  <c:v>18000</c:v>
                </c:pt>
                <c:pt idx="3">
                  <c:v>18000</c:v>
                </c:pt>
                <c:pt idx="4">
                  <c:v>18000</c:v>
                </c:pt>
                <c:pt idx="5">
                  <c:v>18000</c:v>
                </c:pt>
                <c:pt idx="6">
                  <c:v>18000</c:v>
                </c:pt>
                <c:pt idx="7">
                  <c:v>18000</c:v>
                </c:pt>
                <c:pt idx="8">
                  <c:v>18000</c:v>
                </c:pt>
                <c:pt idx="9">
                  <c:v>18000</c:v>
                </c:pt>
                <c:pt idx="10">
                  <c:v>18000</c:v>
                </c:pt>
                <c:pt idx="11">
                  <c:v>18000</c:v>
                </c:pt>
                <c:pt idx="12">
                  <c:v>18240</c:v>
                </c:pt>
                <c:pt idx="13">
                  <c:v>18480</c:v>
                </c:pt>
                <c:pt idx="14">
                  <c:v>18720</c:v>
                </c:pt>
                <c:pt idx="15">
                  <c:v>18960</c:v>
                </c:pt>
                <c:pt idx="16">
                  <c:v>19200</c:v>
                </c:pt>
                <c:pt idx="17">
                  <c:v>19440</c:v>
                </c:pt>
                <c:pt idx="18">
                  <c:v>19680</c:v>
                </c:pt>
                <c:pt idx="19">
                  <c:v>19920</c:v>
                </c:pt>
                <c:pt idx="20">
                  <c:v>20160</c:v>
                </c:pt>
                <c:pt idx="21">
                  <c:v>20400</c:v>
                </c:pt>
                <c:pt idx="22">
                  <c:v>20640</c:v>
                </c:pt>
                <c:pt idx="23">
                  <c:v>20880</c:v>
                </c:pt>
                <c:pt idx="24">
                  <c:v>21120</c:v>
                </c:pt>
                <c:pt idx="25">
                  <c:v>21360</c:v>
                </c:pt>
                <c:pt idx="26">
                  <c:v>21600</c:v>
                </c:pt>
                <c:pt idx="27">
                  <c:v>21840</c:v>
                </c:pt>
                <c:pt idx="28">
                  <c:v>22080</c:v>
                </c:pt>
                <c:pt idx="29">
                  <c:v>22320</c:v>
                </c:pt>
                <c:pt idx="30">
                  <c:v>22560</c:v>
                </c:pt>
                <c:pt idx="31">
                  <c:v>22800</c:v>
                </c:pt>
                <c:pt idx="32">
                  <c:v>23040</c:v>
                </c:pt>
                <c:pt idx="33">
                  <c:v>23280</c:v>
                </c:pt>
                <c:pt idx="34">
                  <c:v>23520</c:v>
                </c:pt>
                <c:pt idx="35">
                  <c:v>23760</c:v>
                </c:pt>
                <c:pt idx="36">
                  <c:v>24000</c:v>
                </c:pt>
                <c:pt idx="37">
                  <c:v>24240</c:v>
                </c:pt>
                <c:pt idx="38">
                  <c:v>24480</c:v>
                </c:pt>
                <c:pt idx="39">
                  <c:v>24720</c:v>
                </c:pt>
                <c:pt idx="40">
                  <c:v>24960</c:v>
                </c:pt>
                <c:pt idx="41">
                  <c:v>25200</c:v>
                </c:pt>
                <c:pt idx="42">
                  <c:v>25440</c:v>
                </c:pt>
                <c:pt idx="43">
                  <c:v>25680</c:v>
                </c:pt>
                <c:pt idx="44">
                  <c:v>25920</c:v>
                </c:pt>
                <c:pt idx="45">
                  <c:v>26160</c:v>
                </c:pt>
                <c:pt idx="46">
                  <c:v>26400</c:v>
                </c:pt>
                <c:pt idx="47">
                  <c:v>26640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F0-43E1-BB8F-4682FAD66922}"/>
            </c:ext>
          </c:extLst>
        </c:ser>
        <c:ser>
          <c:idx val="3"/>
          <c:order val="1"/>
          <c:tx>
            <c:strRef>
              <c:f>'Deal Anatomies'!$B$63</c:f>
              <c:strCache>
                <c:ptCount val="1"/>
                <c:pt idx="0">
                  <c:v>New D365 Deal</c:v>
                </c:pt>
              </c:strCache>
            </c:strRef>
          </c:tx>
          <c:marker>
            <c:symbol val="none"/>
          </c:marker>
          <c:cat>
            <c:numRef>
              <c:f>'Deal Anatomies'!$C$45:$AX$45</c:f>
              <c:numCache>
                <c:formatCode>General</c:formatCode>
                <c:ptCount val="4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</c:numCache>
            </c:numRef>
          </c:cat>
          <c:val>
            <c:numRef>
              <c:f>'Deal Anatomies'!$C$63:$AX$63</c:f>
              <c:numCache>
                <c:formatCode>"$"#,##0</c:formatCode>
                <c:ptCount val="48"/>
                <c:pt idx="0">
                  <c:v>444</c:v>
                </c:pt>
                <c:pt idx="1">
                  <c:v>888</c:v>
                </c:pt>
                <c:pt idx="2">
                  <c:v>1332</c:v>
                </c:pt>
                <c:pt idx="3">
                  <c:v>1776</c:v>
                </c:pt>
                <c:pt idx="4">
                  <c:v>2220</c:v>
                </c:pt>
                <c:pt idx="5">
                  <c:v>2664</c:v>
                </c:pt>
                <c:pt idx="6">
                  <c:v>3108</c:v>
                </c:pt>
                <c:pt idx="7">
                  <c:v>3552</c:v>
                </c:pt>
                <c:pt idx="8">
                  <c:v>3996</c:v>
                </c:pt>
                <c:pt idx="9">
                  <c:v>4440</c:v>
                </c:pt>
                <c:pt idx="10">
                  <c:v>4884</c:v>
                </c:pt>
                <c:pt idx="11">
                  <c:v>5328</c:v>
                </c:pt>
                <c:pt idx="12">
                  <c:v>5772</c:v>
                </c:pt>
                <c:pt idx="13">
                  <c:v>6216</c:v>
                </c:pt>
                <c:pt idx="14">
                  <c:v>6660</c:v>
                </c:pt>
                <c:pt idx="15">
                  <c:v>7104</c:v>
                </c:pt>
                <c:pt idx="16">
                  <c:v>7548</c:v>
                </c:pt>
                <c:pt idx="17">
                  <c:v>7992</c:v>
                </c:pt>
                <c:pt idx="18">
                  <c:v>8436</c:v>
                </c:pt>
                <c:pt idx="19">
                  <c:v>8880</c:v>
                </c:pt>
                <c:pt idx="20">
                  <c:v>9324</c:v>
                </c:pt>
                <c:pt idx="21">
                  <c:v>9768</c:v>
                </c:pt>
                <c:pt idx="22">
                  <c:v>10212</c:v>
                </c:pt>
                <c:pt idx="23">
                  <c:v>10656</c:v>
                </c:pt>
                <c:pt idx="24">
                  <c:v>11100</c:v>
                </c:pt>
                <c:pt idx="25">
                  <c:v>11544</c:v>
                </c:pt>
                <c:pt idx="26">
                  <c:v>11988</c:v>
                </c:pt>
                <c:pt idx="27">
                  <c:v>12432</c:v>
                </c:pt>
                <c:pt idx="28">
                  <c:v>12876</c:v>
                </c:pt>
                <c:pt idx="29">
                  <c:v>13320</c:v>
                </c:pt>
                <c:pt idx="30">
                  <c:v>13764</c:v>
                </c:pt>
                <c:pt idx="31">
                  <c:v>14208</c:v>
                </c:pt>
                <c:pt idx="32">
                  <c:v>14652</c:v>
                </c:pt>
                <c:pt idx="33">
                  <c:v>15096</c:v>
                </c:pt>
                <c:pt idx="34">
                  <c:v>15540</c:v>
                </c:pt>
                <c:pt idx="35">
                  <c:v>15984</c:v>
                </c:pt>
                <c:pt idx="36">
                  <c:v>16428</c:v>
                </c:pt>
                <c:pt idx="37">
                  <c:v>16872</c:v>
                </c:pt>
                <c:pt idx="38">
                  <c:v>17316</c:v>
                </c:pt>
                <c:pt idx="39">
                  <c:v>17760</c:v>
                </c:pt>
                <c:pt idx="40">
                  <c:v>18204</c:v>
                </c:pt>
                <c:pt idx="41">
                  <c:v>18648</c:v>
                </c:pt>
                <c:pt idx="42">
                  <c:v>19092</c:v>
                </c:pt>
                <c:pt idx="43">
                  <c:v>19536</c:v>
                </c:pt>
                <c:pt idx="44">
                  <c:v>19980</c:v>
                </c:pt>
                <c:pt idx="45">
                  <c:v>20424</c:v>
                </c:pt>
                <c:pt idx="46">
                  <c:v>20868</c:v>
                </c:pt>
                <c:pt idx="47">
                  <c:v>21312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F0-43E1-BB8F-4682FAD66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715376"/>
        <c:axId val="763717672"/>
      </c:lineChart>
      <c:catAx>
        <c:axId val="763715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r>
                  <a:rPr lang="en-US">
                    <a:latin typeface="Segoe UI Light" panose="020B0502040204020203" pitchFamily="34" charset="0"/>
                    <a:cs typeface="Segoe UI Light" panose="020B0502040204020203" pitchFamily="34" charset="0"/>
                  </a:rPr>
                  <a:t>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763717672"/>
        <c:crosses val="autoZero"/>
        <c:auto val="1"/>
        <c:lblAlgn val="ctr"/>
        <c:lblOffset val="100"/>
        <c:noMultiLvlLbl val="0"/>
      </c:catAx>
      <c:valAx>
        <c:axId val="763717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763715376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>
                <a:latin typeface="Segoe UI Light" panose="020B0502040204020203" pitchFamily="34" charset="0"/>
                <a:cs typeface="Segoe UI Light" panose="020B0502040204020203" pitchFamily="34" charset="0"/>
              </a:rPr>
              <a:t>New Customer (excluding</a:t>
            </a:r>
            <a:r>
              <a:rPr lang="en-US" baseline="0">
                <a:latin typeface="Segoe UI Light" panose="020B0502040204020203" pitchFamily="34" charset="0"/>
                <a:cs typeface="Segoe UI Light" panose="020B0502040204020203" pitchFamily="34" charset="0"/>
              </a:rPr>
              <a:t> acquisition &amp; retention costs)</a:t>
            </a:r>
            <a:endParaRPr lang="en-US">
              <a:latin typeface="Segoe UI Light" panose="020B0502040204020203" pitchFamily="34" charset="0"/>
              <a:cs typeface="Segoe UI Light" panose="020B05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Breakeven!$C$35</c:f>
              <c:strCache>
                <c:ptCount val="1"/>
                <c:pt idx="0">
                  <c:v>Cumulative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Breakeven!$D$34:$G$34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Breakeven!$D$35:$G$35</c:f>
              <c:numCache>
                <c:formatCode>"$"#,##0</c:formatCode>
                <c:ptCount val="4"/>
                <c:pt idx="0">
                  <c:v>13788</c:v>
                </c:pt>
                <c:pt idx="1">
                  <c:v>19116</c:v>
                </c:pt>
                <c:pt idx="2">
                  <c:v>24444</c:v>
                </c:pt>
                <c:pt idx="3">
                  <c:v>29772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F2-4E54-BE25-F0B36FE656C3}"/>
            </c:ext>
          </c:extLst>
        </c:ser>
        <c:ser>
          <c:idx val="1"/>
          <c:order val="1"/>
          <c:tx>
            <c:strRef>
              <c:f>Breakeven!$C$36</c:f>
              <c:strCache>
                <c:ptCount val="1"/>
                <c:pt idx="0">
                  <c:v>Cumulative Margin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Breakeven!$D$34:$G$34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Breakeven!$D$36:$G$36</c:f>
              <c:numCache>
                <c:formatCode>"$"#,##0</c:formatCode>
                <c:ptCount val="4"/>
                <c:pt idx="0">
                  <c:v>6729.1733333333323</c:v>
                </c:pt>
                <c:pt idx="1">
                  <c:v>8665.0133333333324</c:v>
                </c:pt>
                <c:pt idx="2">
                  <c:v>10600.853333333333</c:v>
                </c:pt>
                <c:pt idx="3">
                  <c:v>12536.693333333333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F2-4E54-BE25-F0B36FE65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593117264"/>
        <c:axId val="593117920"/>
      </c:barChart>
      <c:catAx>
        <c:axId val="59311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593117920"/>
        <c:crosses val="autoZero"/>
        <c:auto val="1"/>
        <c:lblAlgn val="ctr"/>
        <c:lblOffset val="100"/>
        <c:noMultiLvlLbl val="0"/>
      </c:catAx>
      <c:valAx>
        <c:axId val="593117920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59311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>
                <a:latin typeface="Segoe UI Light" panose="020B0502040204020203" pitchFamily="34" charset="0"/>
                <a:cs typeface="Segoe UI Light" panose="020B0502040204020203" pitchFamily="34" charset="0"/>
              </a:rPr>
              <a:t>Converted Customer </a:t>
            </a:r>
            <a:r>
              <a:rPr lang="en-US" sz="1400" b="0" i="0" u="none" strike="noStrike" baseline="0">
                <a:effectLst/>
              </a:rPr>
              <a:t>(excluding acquisition &amp; retention costs)</a:t>
            </a:r>
            <a:endParaRPr lang="en-US">
              <a:latin typeface="Segoe UI Light" panose="020B0502040204020203" pitchFamily="34" charset="0"/>
              <a:cs typeface="Segoe UI Light" panose="020B05020402040202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Breakeven!$C$41</c:f>
              <c:strCache>
                <c:ptCount val="1"/>
                <c:pt idx="0">
                  <c:v>Cumulative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Breakeven!$D$40:$G$40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Breakeven!$D$41:$G$41</c:f>
              <c:numCache>
                <c:formatCode>"$"#,##0</c:formatCode>
                <c:ptCount val="4"/>
                <c:pt idx="0">
                  <c:v>7962.239999999998</c:v>
                </c:pt>
                <c:pt idx="1">
                  <c:v>15924.479999999996</c:v>
                </c:pt>
                <c:pt idx="2">
                  <c:v>23886.719999999994</c:v>
                </c:pt>
                <c:pt idx="3">
                  <c:v>31848.959999999992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5-4B3C-A36E-82D7EAEBCDB7}"/>
            </c:ext>
          </c:extLst>
        </c:ser>
        <c:ser>
          <c:idx val="1"/>
          <c:order val="1"/>
          <c:tx>
            <c:strRef>
              <c:f>Breakeven!$C$42</c:f>
              <c:strCache>
                <c:ptCount val="1"/>
                <c:pt idx="0">
                  <c:v>Cumulative Margin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Breakeven!$D$40:$G$40</c:f>
              <c:strCache>
                <c:ptCount val="4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</c:strCache>
            </c:strRef>
          </c:cat>
          <c:val>
            <c:numRef>
              <c:f>Breakeven!$D$42:$G$42</c:f>
              <c:numCache>
                <c:formatCode>"$"#,##0</c:formatCode>
                <c:ptCount val="4"/>
                <c:pt idx="0">
                  <c:v>2892.9471999999987</c:v>
                </c:pt>
                <c:pt idx="1">
                  <c:v>5785.8943999999974</c:v>
                </c:pt>
                <c:pt idx="2">
                  <c:v>8678.8415999999961</c:v>
                </c:pt>
                <c:pt idx="3">
                  <c:v>11571.788799999995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5-4B3C-A36E-82D7EAEBC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"/>
        <c:axId val="593117264"/>
        <c:axId val="593117920"/>
      </c:barChart>
      <c:catAx>
        <c:axId val="593117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endParaRPr lang="en-US"/>
          </a:p>
        </c:txPr>
        <c:crossAx val="593117920"/>
        <c:crosses val="autoZero"/>
        <c:auto val="1"/>
        <c:lblAlgn val="ctr"/>
        <c:lblOffset val="100"/>
        <c:noMultiLvlLbl val="0"/>
      </c:catAx>
      <c:valAx>
        <c:axId val="593117920"/>
        <c:scaling>
          <c:orientation val="minMax"/>
        </c:scaling>
        <c:delete val="1"/>
        <c:axPos val="l"/>
        <c:numFmt formatCode="&quot;$&quot;#,##0" sourceLinked="1"/>
        <c:majorTickMark val="none"/>
        <c:minorTickMark val="none"/>
        <c:tickLblPos val="nextTo"/>
        <c:crossAx val="593117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 Light" panose="020B0502040204020203" pitchFamily="34" charset="0"/>
                <a:ea typeface="+mn-ea"/>
                <a:cs typeface="Segoe UI Light" panose="020B0502040204020203" pitchFamily="34" charset="0"/>
              </a:defRPr>
            </a:pPr>
            <a:r>
              <a:rPr lang="en-US" b="1">
                <a:latin typeface="Segoe UI Light" panose="020B0502040204020203" pitchFamily="34" charset="0"/>
                <a:cs typeface="Segoe UI Light" panose="020B0502040204020203" pitchFamily="34" charset="0"/>
              </a:rPr>
              <a:t>Total Users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Users!$B$54</c:f>
              <c:strCache>
                <c:ptCount val="1"/>
                <c:pt idx="0">
                  <c:v>Dynamics 365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Users!$C$53:$F$53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Users!$C$54:$F$54</c:f>
              <c:numCache>
                <c:formatCode>#,##0</c:formatCode>
                <c:ptCount val="4"/>
                <c:pt idx="0">
                  <c:v>186.99999999999997</c:v>
                </c:pt>
                <c:pt idx="1">
                  <c:v>364.65000000000009</c:v>
                </c:pt>
                <c:pt idx="2">
                  <c:v>542.3000000000003</c:v>
                </c:pt>
                <c:pt idx="3">
                  <c:v>719.95000000000039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2-4091-A682-89BB74C21B82}"/>
            </c:ext>
          </c:extLst>
        </c:ser>
        <c:ser>
          <c:idx val="1"/>
          <c:order val="1"/>
          <c:tx>
            <c:strRef>
              <c:f>Users!$B$55</c:f>
              <c:strCache>
                <c:ptCount val="1"/>
                <c:pt idx="0">
                  <c:v>Own 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Users!$C$53:$F$53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Users!$C$55:$F$55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2-4091-A682-89BB74C21B82}"/>
            </c:ext>
          </c:extLst>
        </c:ser>
        <c:ser>
          <c:idx val="2"/>
          <c:order val="2"/>
          <c:tx>
            <c:strRef>
              <c:f>Users!$B$56</c:f>
              <c:strCache>
                <c:ptCount val="1"/>
                <c:pt idx="0">
                  <c:v>ISV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Users!$C$53:$F$53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Users!$C$56:$F$56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91-46A3-9BCA-AC0079DFF389}"/>
            </c:ext>
          </c:extLst>
        </c:ser>
        <c:ser>
          <c:idx val="3"/>
          <c:order val="3"/>
          <c:tx>
            <c:strRef>
              <c:f>Users!$B$57</c:f>
              <c:strCache>
                <c:ptCount val="1"/>
                <c:pt idx="0">
                  <c:v>Managed Services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Users!$C$53:$F$53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cat>
          <c:val>
            <c:numRef>
              <c:f>Users!$C$57:$F$57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0-4708-B443-8CDDC0542A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696640"/>
        <c:axId val="339704304"/>
        <c:extLst/>
      </c:barChart>
      <c:catAx>
        <c:axId val="3396966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 Light" panose="020B0502040204020203" pitchFamily="34" charset="0"/>
                    <a:ea typeface="+mn-ea"/>
                    <a:cs typeface="Segoe UI Light" panose="020B0502040204020203" pitchFamily="34" charset="0"/>
                  </a:defRPr>
                </a:pPr>
                <a:r>
                  <a:rPr lang="en-US" sz="1400" b="1">
                    <a:latin typeface="Segoe UI Light" panose="020B0502040204020203" pitchFamily="34" charset="0"/>
                    <a:cs typeface="Segoe UI Light" panose="020B0502040204020203" pitchFamily="34" charset="0"/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 Light" panose="020B0502040204020203" pitchFamily="34" charset="0"/>
                  <a:ea typeface="+mn-ea"/>
                  <a:cs typeface="Segoe UI Light" panose="020B0502040204020203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704304"/>
        <c:crosses val="autoZero"/>
        <c:auto val="1"/>
        <c:lblAlgn val="ctr"/>
        <c:lblOffset val="100"/>
        <c:noMultiLvlLbl val="0"/>
      </c:catAx>
      <c:valAx>
        <c:axId val="339704304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3396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136161531429459"/>
          <c:y val="0.93982334172597715"/>
          <c:w val="0.22863840736423816"/>
          <c:h val="4.25100383268786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 Light" panose="020B0502040204020203" pitchFamily="34" charset="0"/>
              <a:ea typeface="+mn-ea"/>
              <a:cs typeface="Segoe UI Light" panose="020B0502040204020203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16" fmlaLink="$C$42" horiz="1" max="100" page="10" val="0"/>
</file>

<file path=xl/ctrlProps/ctrlProp2.xml><?xml version="1.0" encoding="utf-8"?>
<formControlPr xmlns="http://schemas.microsoft.com/office/spreadsheetml/2009/9/main" objectType="Scroll" dx="16" fmlaLink="$C$43" horiz="1" max="100" page="10" val="0"/>
</file>

<file path=xl/ctrlProps/ctrlProp3.xml><?xml version="1.0" encoding="utf-8"?>
<formControlPr xmlns="http://schemas.microsoft.com/office/spreadsheetml/2009/9/main" objectType="Scroll" dx="16" fmlaLink="$C$44" horiz="1" max="10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9</xdr:col>
          <xdr:colOff>0</xdr:colOff>
          <xdr:row>23</xdr:row>
          <xdr:rowOff>14288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xdr:twoCellAnchor>
    <xdr:from>
      <xdr:col>13</xdr:col>
      <xdr:colOff>269876</xdr:colOff>
      <xdr:row>0</xdr:row>
      <xdr:rowOff>110066</xdr:rowOff>
    </xdr:from>
    <xdr:to>
      <xdr:col>16</xdr:col>
      <xdr:colOff>0</xdr:colOff>
      <xdr:row>26</xdr:row>
      <xdr:rowOff>89957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89957</xdr:colOff>
      <xdr:row>1</xdr:row>
      <xdr:rowOff>265</xdr:rowOff>
    </xdr:from>
    <xdr:to>
      <xdr:col>13</xdr:col>
      <xdr:colOff>243416</xdr:colOff>
      <xdr:row>26</xdr:row>
      <xdr:rowOff>89957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455084</xdr:colOff>
      <xdr:row>31</xdr:row>
      <xdr:rowOff>58208</xdr:rowOff>
    </xdr:from>
    <xdr:to>
      <xdr:col>8</xdr:col>
      <xdr:colOff>572029</xdr:colOff>
      <xdr:row>35</xdr:row>
      <xdr:rowOff>85023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7167" y="6175375"/>
          <a:ext cx="1027112" cy="8999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9</xdr:col>
          <xdr:colOff>0</xdr:colOff>
          <xdr:row>26</xdr:row>
          <xdr:rowOff>14288</xdr:rowOff>
        </xdr:to>
        <xdr:sp macro="" textlink="">
          <xdr:nvSpPr>
            <xdr:cNvPr id="1147" name="Scroll Bar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9</xdr:col>
          <xdr:colOff>0</xdr:colOff>
          <xdr:row>28</xdr:row>
          <xdr:rowOff>204788</xdr:rowOff>
        </xdr:to>
        <xdr:sp macro="" textlink="">
          <xdr:nvSpPr>
            <xdr:cNvPr id="1229" name="Scroll Bar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552318</xdr:colOff>
      <xdr:row>5</xdr:row>
      <xdr:rowOff>195132</xdr:rowOff>
    </xdr:from>
    <xdr:to>
      <xdr:col>15</xdr:col>
      <xdr:colOff>724825</xdr:colOff>
      <xdr:row>10</xdr:row>
      <xdr:rowOff>49967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97777" y="1507465"/>
          <a:ext cx="1029757" cy="9131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377372</xdr:colOff>
      <xdr:row>1</xdr:row>
      <xdr:rowOff>163739</xdr:rowOff>
    </xdr:from>
    <xdr:to>
      <xdr:col>24</xdr:col>
      <xdr:colOff>158297</xdr:colOff>
      <xdr:row>30</xdr:row>
      <xdr:rowOff>173264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22</xdr:col>
      <xdr:colOff>327327</xdr:colOff>
      <xdr:row>26</xdr:row>
      <xdr:rowOff>47625</xdr:rowOff>
    </xdr:from>
    <xdr:to>
      <xdr:col>24</xdr:col>
      <xdr:colOff>62517</xdr:colOff>
      <xdr:row>30</xdr:row>
      <xdr:rowOff>103922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6494" y="5550958"/>
          <a:ext cx="1026356" cy="9029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1</xdr:row>
      <xdr:rowOff>40480</xdr:rowOff>
    </xdr:from>
    <xdr:to>
      <xdr:col>5</xdr:col>
      <xdr:colOff>138114</xdr:colOff>
      <xdr:row>21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273841</xdr:colOff>
      <xdr:row>0</xdr:row>
      <xdr:rowOff>138113</xdr:rowOff>
    </xdr:from>
    <xdr:to>
      <xdr:col>15</xdr:col>
      <xdr:colOff>14286</xdr:colOff>
      <xdr:row>15</xdr:row>
      <xdr:rowOff>14288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390526</xdr:colOff>
      <xdr:row>24</xdr:row>
      <xdr:rowOff>9000</xdr:rowOff>
    </xdr:from>
    <xdr:to>
      <xdr:col>4</xdr:col>
      <xdr:colOff>460714</xdr:colOff>
      <xdr:row>26</xdr:row>
      <xdr:rowOff>208696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5051" y="5038200"/>
          <a:ext cx="717888" cy="618796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15</xdr:row>
      <xdr:rowOff>147638</xdr:rowOff>
    </xdr:from>
    <xdr:to>
      <xdr:col>14</xdr:col>
      <xdr:colOff>578645</xdr:colOff>
      <xdr:row>30</xdr:row>
      <xdr:rowOff>78583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</xdr:colOff>
      <xdr:row>1</xdr:row>
      <xdr:rowOff>7144</xdr:rowOff>
    </xdr:from>
    <xdr:to>
      <xdr:col>10</xdr:col>
      <xdr:colOff>219076</xdr:colOff>
      <xdr:row>29</xdr:row>
      <xdr:rowOff>185738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21</xdr:col>
      <xdr:colOff>111920</xdr:colOff>
      <xdr:row>29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317897</xdr:colOff>
      <xdr:row>2</xdr:row>
      <xdr:rowOff>1189</xdr:rowOff>
    </xdr:from>
    <xdr:to>
      <xdr:col>18</xdr:col>
      <xdr:colOff>428625</xdr:colOff>
      <xdr:row>27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434068</xdr:colOff>
      <xdr:row>18</xdr:row>
      <xdr:rowOff>136922</xdr:rowOff>
    </xdr:from>
    <xdr:to>
      <xdr:col>17</xdr:col>
      <xdr:colOff>169692</xdr:colOff>
      <xdr:row>22</xdr:row>
      <xdr:rowOff>193218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4993" y="3908822"/>
          <a:ext cx="1031024" cy="8944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24</xdr:row>
      <xdr:rowOff>164488</xdr:rowOff>
    </xdr:from>
    <xdr:to>
      <xdr:col>17</xdr:col>
      <xdr:colOff>270538</xdr:colOff>
      <xdr:row>29</xdr:row>
      <xdr:rowOff>81846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52500" y="5773655"/>
          <a:ext cx="1058997" cy="97569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319087</xdr:colOff>
      <xdr:row>3</xdr:row>
      <xdr:rowOff>414337</xdr:rowOff>
    </xdr:from>
    <xdr:to>
      <xdr:col>9</xdr:col>
      <xdr:colOff>50799</xdr:colOff>
      <xdr:row>16</xdr:row>
      <xdr:rowOff>61740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4900" y="1042987"/>
          <a:ext cx="1027112" cy="896368"/>
        </a:xfrm>
        <a:prstGeom prst="rect">
          <a:avLst/>
        </a:prstGeom>
      </xdr:spPr>
    </xdr:pic>
    <xdr:clientData/>
  </xdr:twoCellAnchor>
  <xdr:oneCellAnchor>
    <xdr:from>
      <xdr:col>9</xdr:col>
      <xdr:colOff>190498</xdr:colOff>
      <xdr:row>3</xdr:row>
      <xdr:rowOff>319088</xdr:rowOff>
    </xdr:from>
    <xdr:ext cx="1704975" cy="86677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9891711" y="947738"/>
          <a:ext cx="1704975" cy="866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CA" sz="800">
              <a:latin typeface="Segoe UI Light" panose="020B0502040204020203" pitchFamily="34" charset="0"/>
              <a:cs typeface="Segoe UI Light" panose="020B0502040204020203" pitchFamily="34" charset="0"/>
            </a:rPr>
            <a:t>* Business valuation estimates powered by CloudSpeed, based on its proprietary research. For more detail on methodology, contact Dana Willmer.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T115"/>
  <sheetViews>
    <sheetView showGridLines="0" showZeros="0" tabSelected="1" zoomScale="90" zoomScaleNormal="90" workbookViewId="0">
      <selection activeCell="J34" sqref="J34"/>
    </sheetView>
  </sheetViews>
  <sheetFormatPr defaultColWidth="9.19921875" defaultRowHeight="16.5" x14ac:dyDescent="0.6"/>
  <cols>
    <col min="1" max="1" width="1.06640625" style="1" customWidth="1"/>
    <col min="2" max="2" width="36.73046875" style="1" customWidth="1"/>
    <col min="3" max="3" width="13.73046875" style="1" customWidth="1"/>
    <col min="4" max="4" width="1.59765625" style="1" customWidth="1"/>
    <col min="5" max="5" width="28.53125" style="1" customWidth="1"/>
    <col min="6" max="6" width="13.73046875" style="1" customWidth="1"/>
    <col min="7" max="7" width="1.73046875" style="1" customWidth="1"/>
    <col min="8" max="8" width="12.73046875" style="1" customWidth="1"/>
    <col min="9" max="10" width="13.73046875" style="1" customWidth="1"/>
    <col min="11" max="11" width="1.73046875" style="1" customWidth="1"/>
    <col min="12" max="12" width="19.06640625" style="1" customWidth="1"/>
    <col min="13" max="16" width="14.33203125" style="1" customWidth="1"/>
    <col min="17" max="17" width="15.73046875" style="1" customWidth="1"/>
    <col min="18" max="18" width="12.19921875" style="1" customWidth="1"/>
    <col min="19" max="16384" width="9.19921875" style="1"/>
  </cols>
  <sheetData>
    <row r="1" spans="2:13" ht="9" customHeight="1" x14ac:dyDescent="0.6"/>
    <row r="2" spans="2:13" ht="15" customHeight="1" x14ac:dyDescent="0.6">
      <c r="B2" s="237" t="s">
        <v>118</v>
      </c>
      <c r="C2" s="237"/>
      <c r="E2" s="238" t="s">
        <v>80</v>
      </c>
      <c r="F2" s="2" t="s">
        <v>14</v>
      </c>
      <c r="G2" s="235" t="s">
        <v>9</v>
      </c>
      <c r="H2" s="235"/>
      <c r="I2" s="192" t="s">
        <v>10</v>
      </c>
      <c r="J2" s="3" t="s">
        <v>11</v>
      </c>
      <c r="K2" s="4"/>
    </row>
    <row r="3" spans="2:13" ht="15.75" customHeight="1" x14ac:dyDescent="0.6">
      <c r="B3" s="237"/>
      <c r="C3" s="237"/>
      <c r="E3" s="239"/>
      <c r="F3" s="136">
        <v>5</v>
      </c>
      <c r="G3" s="241">
        <f>F3</f>
        <v>5</v>
      </c>
      <c r="H3" s="241"/>
      <c r="I3" s="194">
        <f>F3</f>
        <v>5</v>
      </c>
      <c r="J3" s="132">
        <f>F3</f>
        <v>5</v>
      </c>
      <c r="K3" s="5"/>
    </row>
    <row r="4" spans="2:13" ht="14.25" customHeight="1" x14ac:dyDescent="0.6">
      <c r="B4" s="237"/>
      <c r="C4" s="237"/>
      <c r="E4" s="238" t="s">
        <v>41</v>
      </c>
      <c r="F4" s="2" t="s">
        <v>14</v>
      </c>
      <c r="G4" s="235" t="s">
        <v>9</v>
      </c>
      <c r="H4" s="235"/>
      <c r="I4" s="192" t="s">
        <v>10</v>
      </c>
      <c r="J4" s="3" t="s">
        <v>11</v>
      </c>
      <c r="K4" s="6"/>
    </row>
    <row r="5" spans="2:13" ht="15" customHeight="1" x14ac:dyDescent="0.6">
      <c r="B5" s="168" t="s">
        <v>97</v>
      </c>
      <c r="C5" s="169"/>
      <c r="D5" s="7"/>
      <c r="E5" s="239"/>
      <c r="F5" s="137">
        <v>15</v>
      </c>
      <c r="G5" s="240">
        <f>F5</f>
        <v>15</v>
      </c>
      <c r="H5" s="240"/>
      <c r="I5" s="193">
        <f>F5</f>
        <v>15</v>
      </c>
      <c r="J5" s="133">
        <f>F5</f>
        <v>15</v>
      </c>
      <c r="K5" s="8"/>
    </row>
    <row r="6" spans="2:13" ht="16.149999999999999" customHeight="1" x14ac:dyDescent="0.6">
      <c r="B6" s="123" t="s">
        <v>78</v>
      </c>
      <c r="C6" s="129">
        <v>200</v>
      </c>
      <c r="D6" s="7"/>
      <c r="E6" s="188" t="s">
        <v>150</v>
      </c>
      <c r="F6" s="192" t="s">
        <v>14</v>
      </c>
      <c r="G6" s="235" t="s">
        <v>9</v>
      </c>
      <c r="H6" s="235"/>
      <c r="I6" s="192" t="s">
        <v>10</v>
      </c>
      <c r="J6" s="3" t="s">
        <v>11</v>
      </c>
      <c r="K6" s="6"/>
    </row>
    <row r="7" spans="2:13" ht="16.149999999999999" customHeight="1" x14ac:dyDescent="0.6">
      <c r="B7" s="123" t="s">
        <v>79</v>
      </c>
      <c r="C7" s="130">
        <v>8</v>
      </c>
      <c r="D7" s="7"/>
      <c r="E7" s="81" t="str">
        <f>B27</f>
        <v>Cloud Services Manager</v>
      </c>
      <c r="F7" s="138">
        <v>0</v>
      </c>
      <c r="G7" s="236">
        <v>0</v>
      </c>
      <c r="H7" s="236"/>
      <c r="I7" s="138"/>
      <c r="J7" s="130"/>
      <c r="K7" s="9"/>
    </row>
    <row r="8" spans="2:13" ht="16.149999999999999" customHeight="1" x14ac:dyDescent="0.6">
      <c r="B8" s="123" t="s">
        <v>147</v>
      </c>
      <c r="C8" s="260">
        <f>3000*0.2</f>
        <v>600</v>
      </c>
      <c r="D8" s="7"/>
      <c r="E8" s="81" t="str">
        <f>B28</f>
        <v>Business Analyst</v>
      </c>
      <c r="F8" s="196"/>
      <c r="G8" s="236"/>
      <c r="H8" s="236"/>
      <c r="I8" s="196"/>
      <c r="J8" s="139"/>
      <c r="K8" s="9"/>
    </row>
    <row r="9" spans="2:13" ht="16.149999999999999" customHeight="1" x14ac:dyDescent="0.6">
      <c r="B9" s="124" t="s">
        <v>102</v>
      </c>
      <c r="C9" s="131">
        <v>1.3</v>
      </c>
      <c r="D9" s="10"/>
      <c r="E9" s="81" t="str">
        <f>B30</f>
        <v>Developer</v>
      </c>
      <c r="F9" s="196">
        <f>IF(J23&gt;0,0.5,0)</f>
        <v>0</v>
      </c>
      <c r="G9" s="236">
        <f>F9</f>
        <v>0</v>
      </c>
      <c r="H9" s="236"/>
      <c r="I9" s="196">
        <f>F9</f>
        <v>0</v>
      </c>
      <c r="J9" s="139">
        <f>F9</f>
        <v>0</v>
      </c>
    </row>
    <row r="10" spans="2:13" ht="16.149999999999999" customHeight="1" x14ac:dyDescent="0.6">
      <c r="B10" s="168" t="s">
        <v>100</v>
      </c>
      <c r="C10" s="169"/>
      <c r="D10" s="10"/>
      <c r="E10" s="81" t="str">
        <f>B34</f>
        <v>Demand Generation Marketing</v>
      </c>
      <c r="F10" s="195"/>
      <c r="G10" s="225"/>
      <c r="H10" s="225"/>
      <c r="I10" s="195"/>
      <c r="J10" s="173"/>
    </row>
    <row r="11" spans="2:13" ht="16.149999999999999" customHeight="1" x14ac:dyDescent="0.6">
      <c r="B11" s="123" t="s">
        <v>38</v>
      </c>
      <c r="C11" s="132">
        <v>6</v>
      </c>
      <c r="D11" s="11"/>
      <c r="E11" s="81" t="str">
        <f>B29</f>
        <v>Customer Success Manager</v>
      </c>
      <c r="F11" s="198">
        <f>ROUNDUP(('Core Calculations'!M21)/F32,0)</f>
        <v>0</v>
      </c>
      <c r="G11" s="224">
        <f>ROUNDUP(('Core Calculations'!Y21)/F32,0)</f>
        <v>0</v>
      </c>
      <c r="H11" s="224"/>
      <c r="I11" s="198">
        <f>ROUNDUP(('Core Calculations'!AK21)/F32,0)</f>
        <v>0</v>
      </c>
      <c r="J11" s="199">
        <f>ROUNDUP(('Core Calculations'!AW21)/F32,0)</f>
        <v>0</v>
      </c>
    </row>
    <row r="12" spans="2:13" ht="16.05" customHeight="1" x14ac:dyDescent="0.6">
      <c r="B12" s="124" t="s">
        <v>39</v>
      </c>
      <c r="C12" s="133">
        <v>3</v>
      </c>
      <c r="D12" s="12"/>
      <c r="E12" s="81" t="str">
        <f>B31</f>
        <v>Onboarding Specialist</v>
      </c>
      <c r="F12" s="198">
        <f>ROUNDUP((F35*M86)/$F$34,0)</f>
        <v>1</v>
      </c>
      <c r="G12" s="224">
        <f>ROUNDUP((F35*N86)/$F$34,0)</f>
        <v>1</v>
      </c>
      <c r="H12" s="224"/>
      <c r="I12" s="198">
        <f>ROUNDUP((F35*O86)/$F$34,0)</f>
        <v>1</v>
      </c>
      <c r="J12" s="199">
        <f>ROUNDUP((F35*P86)/$F$34,0)</f>
        <v>1</v>
      </c>
      <c r="M12" s="13"/>
    </row>
    <row r="13" spans="2:13" ht="16.05" customHeight="1" x14ac:dyDescent="0.6">
      <c r="B13" s="188" t="s">
        <v>106</v>
      </c>
      <c r="C13" s="189"/>
      <c r="D13" s="12"/>
      <c r="E13" s="82" t="str">
        <f>B33</f>
        <v>Business Development Rep</v>
      </c>
      <c r="F13" s="200">
        <f>ROUNDUP((F5+F3)/$F$33,0)</f>
        <v>1</v>
      </c>
      <c r="G13" s="223">
        <f>ROUNDUP((G5+G3)/$F$33,0)</f>
        <v>1</v>
      </c>
      <c r="H13" s="223"/>
      <c r="I13" s="200">
        <f>ROUNDUP((I5+I3)/$F$33,0)</f>
        <v>1</v>
      </c>
      <c r="J13" s="201">
        <f>ROUNDUP((J5+J3)/$F$33,0)</f>
        <v>1</v>
      </c>
      <c r="M13" s="13"/>
    </row>
    <row r="14" spans="2:13" ht="16.05" customHeight="1" x14ac:dyDescent="0.6">
      <c r="B14" s="78" t="s">
        <v>173</v>
      </c>
      <c r="C14" s="260">
        <f>940*(C11+C12)</f>
        <v>8460</v>
      </c>
      <c r="D14" s="12"/>
      <c r="E14" s="232" t="s">
        <v>116</v>
      </c>
      <c r="F14" s="234" t="s">
        <v>101</v>
      </c>
      <c r="G14" s="234" t="s">
        <v>34</v>
      </c>
      <c r="H14" s="234"/>
      <c r="I14" s="234" t="s">
        <v>35</v>
      </c>
      <c r="J14" s="226" t="s">
        <v>107</v>
      </c>
      <c r="M14" s="13"/>
    </row>
    <row r="15" spans="2:13" ht="16.05" customHeight="1" x14ac:dyDescent="0.6">
      <c r="B15" s="78" t="s">
        <v>175</v>
      </c>
      <c r="C15" s="260"/>
      <c r="D15" s="12"/>
      <c r="E15" s="232"/>
      <c r="F15" s="234"/>
      <c r="G15" s="234"/>
      <c r="H15" s="234"/>
      <c r="I15" s="234"/>
      <c r="J15" s="226"/>
      <c r="M15" s="13"/>
    </row>
    <row r="16" spans="2:13" ht="15.75" customHeight="1" x14ac:dyDescent="0.6">
      <c r="B16" s="78" t="s">
        <v>174</v>
      </c>
      <c r="C16" s="260">
        <v>0</v>
      </c>
      <c r="D16" s="12"/>
      <c r="E16" s="233"/>
      <c r="F16" s="140">
        <v>0.1</v>
      </c>
      <c r="G16" s="264">
        <v>250</v>
      </c>
      <c r="H16" s="264"/>
      <c r="I16" s="141">
        <v>10</v>
      </c>
      <c r="J16" s="142">
        <v>0.02</v>
      </c>
      <c r="M16" s="13"/>
    </row>
    <row r="17" spans="2:16" ht="16.05" customHeight="1" x14ac:dyDescent="0.6">
      <c r="B17" s="81" t="s">
        <v>32</v>
      </c>
      <c r="C17" s="260">
        <v>70</v>
      </c>
      <c r="E17" s="191" t="s">
        <v>43</v>
      </c>
      <c r="F17" s="99" t="s">
        <v>14</v>
      </c>
      <c r="G17" s="227" t="s">
        <v>9</v>
      </c>
      <c r="H17" s="227"/>
      <c r="I17" s="190" t="s">
        <v>10</v>
      </c>
      <c r="J17" s="100" t="s">
        <v>11</v>
      </c>
      <c r="M17" s="13"/>
    </row>
    <row r="18" spans="2:16" ht="15.75" customHeight="1" x14ac:dyDescent="0.6">
      <c r="B18" s="81" t="s">
        <v>33</v>
      </c>
      <c r="C18" s="260">
        <v>8</v>
      </c>
      <c r="E18" s="125" t="s">
        <v>89</v>
      </c>
      <c r="F18" s="207"/>
      <c r="G18" s="228"/>
      <c r="H18" s="228"/>
      <c r="I18" s="207"/>
      <c r="J18" s="208"/>
      <c r="M18" s="14"/>
    </row>
    <row r="19" spans="2:16" ht="15.75" customHeight="1" x14ac:dyDescent="0.6">
      <c r="B19" s="78" t="s">
        <v>62</v>
      </c>
      <c r="C19" s="260">
        <v>70</v>
      </c>
      <c r="E19" s="125" t="s">
        <v>67</v>
      </c>
      <c r="F19" s="209">
        <v>0</v>
      </c>
      <c r="G19" s="229">
        <f>F19</f>
        <v>0</v>
      </c>
      <c r="H19" s="229"/>
      <c r="I19" s="209">
        <f>G19</f>
        <v>0</v>
      </c>
      <c r="J19" s="210">
        <f>I19</f>
        <v>0</v>
      </c>
      <c r="M19" s="14"/>
    </row>
    <row r="20" spans="2:16" ht="15" customHeight="1" x14ac:dyDescent="0.6">
      <c r="B20" s="78" t="s">
        <v>121</v>
      </c>
      <c r="C20" s="260">
        <v>100</v>
      </c>
      <c r="E20" s="82" t="s">
        <v>68</v>
      </c>
      <c r="F20" s="211">
        <v>0</v>
      </c>
      <c r="G20" s="230">
        <f>F20</f>
        <v>0</v>
      </c>
      <c r="H20" s="230"/>
      <c r="I20" s="211">
        <f>G20</f>
        <v>0</v>
      </c>
      <c r="J20" s="212">
        <f>I20</f>
        <v>0</v>
      </c>
      <c r="K20" s="15"/>
      <c r="M20" s="16"/>
    </row>
    <row r="21" spans="2:16" ht="15.75" customHeight="1" x14ac:dyDescent="0.6">
      <c r="B21" s="79" t="s">
        <v>182</v>
      </c>
      <c r="C21" s="261">
        <v>40</v>
      </c>
      <c r="M21" s="16"/>
    </row>
    <row r="22" spans="2:16" x14ac:dyDescent="0.6">
      <c r="B22" s="188" t="s">
        <v>136</v>
      </c>
      <c r="C22" s="189"/>
      <c r="E22" s="231" t="s">
        <v>119</v>
      </c>
      <c r="F22" s="231"/>
      <c r="G22" s="231"/>
      <c r="H22" s="231"/>
      <c r="I22" s="231"/>
      <c r="M22" s="14"/>
    </row>
    <row r="23" spans="2:16" ht="15" customHeight="1" x14ac:dyDescent="0.6">
      <c r="B23" s="78" t="s">
        <v>154</v>
      </c>
      <c r="C23" s="134">
        <v>0.35</v>
      </c>
      <c r="J23" s="15">
        <f>C42/100</f>
        <v>0</v>
      </c>
      <c r="M23" s="14"/>
    </row>
    <row r="24" spans="2:16" ht="15" customHeight="1" x14ac:dyDescent="0.6">
      <c r="B24" s="78" t="s">
        <v>42</v>
      </c>
      <c r="C24" s="134">
        <v>0.18</v>
      </c>
      <c r="K24" s="15"/>
      <c r="M24" s="16"/>
    </row>
    <row r="25" spans="2:16" x14ac:dyDescent="0.6">
      <c r="B25" s="79" t="s">
        <v>120</v>
      </c>
      <c r="C25" s="135">
        <v>0.3</v>
      </c>
      <c r="E25" s="231" t="s">
        <v>122</v>
      </c>
      <c r="F25" s="231"/>
      <c r="G25" s="231"/>
      <c r="H25" s="231"/>
      <c r="I25" s="231"/>
      <c r="K25" s="17"/>
      <c r="M25" s="16"/>
    </row>
    <row r="26" spans="2:16" ht="15" customHeight="1" x14ac:dyDescent="0.6">
      <c r="B26" s="188" t="s">
        <v>110</v>
      </c>
      <c r="C26" s="189"/>
      <c r="J26" s="15">
        <f>C43/100</f>
        <v>0</v>
      </c>
    </row>
    <row r="27" spans="2:16" ht="15" customHeight="1" x14ac:dyDescent="0.6">
      <c r="B27" s="115" t="s">
        <v>85</v>
      </c>
      <c r="C27" s="262">
        <v>90000</v>
      </c>
    </row>
    <row r="28" spans="2:16" ht="14.55" customHeight="1" x14ac:dyDescent="0.6">
      <c r="B28" s="115" t="s">
        <v>84</v>
      </c>
      <c r="C28" s="262">
        <v>75000</v>
      </c>
      <c r="E28" s="231" t="s">
        <v>180</v>
      </c>
      <c r="F28" s="231"/>
      <c r="G28" s="231"/>
      <c r="H28" s="231"/>
      <c r="I28" s="231"/>
      <c r="K28" s="11"/>
      <c r="L28" s="247" t="s">
        <v>29</v>
      </c>
      <c r="M28" s="248"/>
      <c r="N28" s="248"/>
      <c r="O28" s="248"/>
      <c r="P28" s="249"/>
    </row>
    <row r="29" spans="2:16" x14ac:dyDescent="0.6">
      <c r="B29" s="115" t="s">
        <v>81</v>
      </c>
      <c r="C29" s="262">
        <v>65000</v>
      </c>
      <c r="J29" s="15">
        <f>C44/100</f>
        <v>0</v>
      </c>
      <c r="K29" s="17"/>
      <c r="L29" s="18"/>
      <c r="M29" s="4" t="s">
        <v>14</v>
      </c>
      <c r="N29" s="4" t="s">
        <v>9</v>
      </c>
      <c r="O29" s="4" t="s">
        <v>10</v>
      </c>
      <c r="P29" s="19" t="s">
        <v>11</v>
      </c>
    </row>
    <row r="30" spans="2:16" x14ac:dyDescent="0.6">
      <c r="B30" s="115" t="s">
        <v>83</v>
      </c>
      <c r="C30" s="262">
        <v>80000</v>
      </c>
      <c r="L30" s="171" t="s">
        <v>18</v>
      </c>
      <c r="M30" s="265">
        <f>'P&amp;L Impact Detail'!F26</f>
        <v>191754.4</v>
      </c>
      <c r="N30" s="265">
        <f>'P&amp;L Impact Detail'!H26</f>
        <v>308242.88</v>
      </c>
      <c r="O30" s="265">
        <f>'P&amp;L Impact Detail'!J26</f>
        <v>421987.52000000019</v>
      </c>
      <c r="P30" s="266">
        <f>'P&amp;L Impact Detail'!L26</f>
        <v>535732.16000000038</v>
      </c>
    </row>
    <row r="31" spans="2:16" ht="16.5" customHeight="1" x14ac:dyDescent="0.6">
      <c r="B31" s="115" t="s">
        <v>82</v>
      </c>
      <c r="C31" s="262">
        <v>55000</v>
      </c>
      <c r="E31" s="243" t="s">
        <v>178</v>
      </c>
      <c r="F31" s="244"/>
      <c r="H31" s="250" t="s">
        <v>104</v>
      </c>
      <c r="I31" s="251"/>
      <c r="J31" s="143">
        <v>0.05</v>
      </c>
      <c r="L31" s="172" t="s">
        <v>28</v>
      </c>
      <c r="M31" s="267">
        <f>'P&amp;L Impact Detail'!F29</f>
        <v>-18297.799999999988</v>
      </c>
      <c r="N31" s="267">
        <f>'P&amp;L Impact Detail'!H29</f>
        <v>5473.2380000000121</v>
      </c>
      <c r="O31" s="267">
        <f>'P&amp;L Impact Detail'!J29</f>
        <v>10844.274799999956</v>
      </c>
      <c r="P31" s="268">
        <f>'P&amp;L Impact Detail'!L29</f>
        <v>12909.369200000539</v>
      </c>
    </row>
    <row r="32" spans="2:16" ht="16.5" customHeight="1" x14ac:dyDescent="0.6">
      <c r="B32" s="188" t="s">
        <v>111</v>
      </c>
      <c r="C32" s="189"/>
      <c r="E32" s="123" t="s">
        <v>171</v>
      </c>
      <c r="F32" s="165">
        <v>600</v>
      </c>
      <c r="J32" s="20"/>
      <c r="K32" s="20"/>
      <c r="L32" s="21"/>
      <c r="M32" s="21"/>
      <c r="N32" s="21"/>
      <c r="O32" s="21"/>
    </row>
    <row r="33" spans="2:16" ht="16.5" customHeight="1" x14ac:dyDescent="0.6">
      <c r="B33" s="115" t="s">
        <v>113</v>
      </c>
      <c r="C33" s="262">
        <v>50000</v>
      </c>
      <c r="E33" s="123" t="s">
        <v>172</v>
      </c>
      <c r="F33" s="165">
        <v>48</v>
      </c>
      <c r="I33" s="126"/>
      <c r="K33" s="126"/>
      <c r="L33" s="245" t="s">
        <v>64</v>
      </c>
      <c r="M33" s="246"/>
      <c r="N33" s="98"/>
      <c r="O33" s="108" t="s">
        <v>65</v>
      </c>
      <c r="P33" s="94"/>
    </row>
    <row r="34" spans="2:16" ht="16.5" customHeight="1" x14ac:dyDescent="0.6">
      <c r="B34" s="116" t="s">
        <v>114</v>
      </c>
      <c r="C34" s="263">
        <v>65000</v>
      </c>
      <c r="E34" s="81" t="s">
        <v>176</v>
      </c>
      <c r="F34" s="165">
        <v>1090</v>
      </c>
      <c r="I34" s="127"/>
      <c r="K34" s="127"/>
      <c r="L34" s="269">
        <f>'P&amp;L Impact Detail'!H34</f>
        <v>100000</v>
      </c>
      <c r="M34" s="270"/>
      <c r="N34" s="271"/>
      <c r="O34" s="272">
        <f>'Valuation Calculations'!G10</f>
        <v>700449.11565083649</v>
      </c>
      <c r="P34" s="273"/>
    </row>
    <row r="35" spans="2:16" ht="18.75" x14ac:dyDescent="0.6">
      <c r="B35" s="242" t="s">
        <v>225</v>
      </c>
      <c r="C35" s="242"/>
      <c r="E35" s="79" t="s">
        <v>177</v>
      </c>
      <c r="F35" s="131">
        <v>4.5999999999999996</v>
      </c>
      <c r="K35" s="20"/>
      <c r="L35" s="97"/>
      <c r="M35" s="97"/>
      <c r="N35" s="97"/>
      <c r="O35" s="21"/>
    </row>
    <row r="36" spans="2:16" x14ac:dyDescent="0.6">
      <c r="F36" s="167"/>
      <c r="K36" s="20"/>
      <c r="L36" s="21"/>
      <c r="M36" s="21"/>
      <c r="N36" s="21"/>
      <c r="O36" s="21"/>
    </row>
    <row r="37" spans="2:16" x14ac:dyDescent="0.6">
      <c r="K37" s="20"/>
      <c r="L37" s="21"/>
      <c r="M37" s="21"/>
      <c r="N37" s="21"/>
      <c r="O37" s="21"/>
    </row>
    <row r="38" spans="2:16" ht="15" customHeight="1" x14ac:dyDescent="0.6">
      <c r="D38" s="15"/>
      <c r="F38" s="150"/>
    </row>
    <row r="39" spans="2:16" ht="15" customHeight="1" x14ac:dyDescent="0.6">
      <c r="D39" s="15"/>
      <c r="F39" s="150"/>
    </row>
    <row r="40" spans="2:16" x14ac:dyDescent="0.6">
      <c r="D40" s="6"/>
    </row>
    <row r="41" spans="2:16" ht="15" hidden="1" customHeight="1" x14ac:dyDescent="0.6">
      <c r="B41" s="6" t="s">
        <v>24</v>
      </c>
      <c r="C41" s="6"/>
      <c r="D41" s="22"/>
    </row>
    <row r="42" spans="2:16" ht="15" hidden="1" customHeight="1" x14ac:dyDescent="0.6">
      <c r="B42" s="22" t="s">
        <v>26</v>
      </c>
      <c r="C42" s="23">
        <v>0</v>
      </c>
      <c r="D42" s="22"/>
    </row>
    <row r="43" spans="2:16" hidden="1" x14ac:dyDescent="0.6">
      <c r="B43" s="22" t="s">
        <v>122</v>
      </c>
      <c r="C43" s="23">
        <v>0</v>
      </c>
      <c r="D43" s="22"/>
    </row>
    <row r="44" spans="2:16" hidden="1" x14ac:dyDescent="0.6">
      <c r="B44" s="22" t="s">
        <v>180</v>
      </c>
      <c r="C44" s="23">
        <v>0</v>
      </c>
      <c r="D44" s="22"/>
    </row>
    <row r="45" spans="2:16" hidden="1" x14ac:dyDescent="0.6">
      <c r="B45" s="22"/>
      <c r="C45" s="22"/>
      <c r="D45" s="22"/>
    </row>
    <row r="46" spans="2:16" hidden="1" x14ac:dyDescent="0.6">
      <c r="B46" s="128" t="s">
        <v>135</v>
      </c>
      <c r="C46" s="161">
        <v>0.3</v>
      </c>
      <c r="D46" s="22"/>
    </row>
    <row r="47" spans="2:16" hidden="1" x14ac:dyDescent="0.6">
      <c r="B47" s="128" t="s">
        <v>137</v>
      </c>
      <c r="C47" s="161">
        <v>0.25</v>
      </c>
      <c r="D47" s="22"/>
    </row>
    <row r="48" spans="2:16" hidden="1" x14ac:dyDescent="0.6">
      <c r="B48" s="128" t="s">
        <v>117</v>
      </c>
      <c r="C48" s="161">
        <v>0.08</v>
      </c>
      <c r="D48" s="22"/>
    </row>
    <row r="49" spans="2:4" hidden="1" x14ac:dyDescent="0.6">
      <c r="B49" s="123" t="s">
        <v>70</v>
      </c>
      <c r="C49" s="202">
        <f>1/9</f>
        <v>0.1111111111111111</v>
      </c>
      <c r="D49" s="22"/>
    </row>
    <row r="50" spans="2:4" hidden="1" x14ac:dyDescent="0.6">
      <c r="B50" s="158"/>
      <c r="C50" s="162"/>
      <c r="D50" s="22"/>
    </row>
    <row r="51" spans="2:4" hidden="1" x14ac:dyDescent="0.6">
      <c r="B51" s="158" t="s">
        <v>157</v>
      </c>
      <c r="C51" s="203">
        <v>3000</v>
      </c>
      <c r="D51" s="22"/>
    </row>
    <row r="52" spans="2:4" hidden="1" x14ac:dyDescent="0.6">
      <c r="B52" s="158" t="s">
        <v>158</v>
      </c>
      <c r="C52" s="204">
        <v>0.16</v>
      </c>
      <c r="D52" s="22"/>
    </row>
    <row r="53" spans="2:4" hidden="1" x14ac:dyDescent="0.6">
      <c r="B53" s="158" t="s">
        <v>160</v>
      </c>
      <c r="C53" s="161">
        <v>0.4</v>
      </c>
      <c r="D53" s="22"/>
    </row>
    <row r="54" spans="2:4" hidden="1" x14ac:dyDescent="0.6">
      <c r="B54" s="158"/>
      <c r="C54" s="162"/>
      <c r="D54" s="22"/>
    </row>
    <row r="55" spans="2:4" hidden="1" x14ac:dyDescent="0.6">
      <c r="B55" s="128" t="s">
        <v>143</v>
      </c>
      <c r="C55" s="163">
        <f>1/(C49+1)</f>
        <v>0.89999999999999991</v>
      </c>
      <c r="D55" s="22"/>
    </row>
    <row r="56" spans="2:4" hidden="1" x14ac:dyDescent="0.6">
      <c r="B56" s="128" t="s">
        <v>142</v>
      </c>
      <c r="C56" s="163">
        <f>C49/(C49+1)</f>
        <v>9.9999999999999992E-2</v>
      </c>
      <c r="D56" s="22"/>
    </row>
    <row r="57" spans="2:4" hidden="1" x14ac:dyDescent="0.6">
      <c r="B57" s="128"/>
      <c r="C57" s="161"/>
      <c r="D57" s="22"/>
    </row>
    <row r="58" spans="2:4" hidden="1" x14ac:dyDescent="0.6">
      <c r="B58" s="128" t="s">
        <v>144</v>
      </c>
      <c r="C58" s="163">
        <f>C11/(C11+C12)</f>
        <v>0.66666666666666663</v>
      </c>
      <c r="D58" s="22"/>
    </row>
    <row r="59" spans="2:4" hidden="1" x14ac:dyDescent="0.6">
      <c r="B59" s="128" t="s">
        <v>145</v>
      </c>
      <c r="C59" s="163">
        <f>C12/(C12+C11)</f>
        <v>0.33333333333333331</v>
      </c>
      <c r="D59" s="22"/>
    </row>
    <row r="60" spans="2:4" hidden="1" x14ac:dyDescent="0.6">
      <c r="B60" s="128"/>
      <c r="C60" s="161"/>
      <c r="D60" s="22"/>
    </row>
    <row r="61" spans="2:4" hidden="1" x14ac:dyDescent="0.6">
      <c r="B61" s="45" t="s">
        <v>138</v>
      </c>
      <c r="C61" s="151">
        <f>(C55*C17)+(C18*C56)</f>
        <v>63.79999999999999</v>
      </c>
      <c r="D61" s="22"/>
    </row>
    <row r="62" spans="2:4" hidden="1" x14ac:dyDescent="0.6">
      <c r="B62" s="128" t="s">
        <v>139</v>
      </c>
      <c r="C62" s="164">
        <f>((C46+C48)*C55)+((C47+C48)*C56)</f>
        <v>0.375</v>
      </c>
      <c r="D62" s="22"/>
    </row>
    <row r="63" spans="2:4" hidden="1" x14ac:dyDescent="0.6">
      <c r="B63" s="22"/>
      <c r="C63" s="22"/>
      <c r="D63" s="22"/>
    </row>
    <row r="64" spans="2:4" hidden="1" x14ac:dyDescent="0.6">
      <c r="B64" s="45" t="s">
        <v>140</v>
      </c>
      <c r="C64" s="151">
        <f>(C58*C17)+(C18*C59)</f>
        <v>49.333333333333329</v>
      </c>
      <c r="D64" s="22"/>
    </row>
    <row r="65" spans="2:20" hidden="1" x14ac:dyDescent="0.6">
      <c r="B65" s="128" t="s">
        <v>141</v>
      </c>
      <c r="C65" s="164">
        <f>((C46+C48)*C58)+((C47+C48)*C59)</f>
        <v>0.36333333333333329</v>
      </c>
      <c r="F65" s="24"/>
      <c r="G65" s="24"/>
      <c r="H65" s="24"/>
      <c r="I65" s="25"/>
      <c r="Q65" s="26"/>
      <c r="R65" s="26"/>
    </row>
    <row r="66" spans="2:20" hidden="1" x14ac:dyDescent="0.6">
      <c r="Q66" s="26"/>
      <c r="R66" s="26"/>
    </row>
    <row r="67" spans="2:20" hidden="1" x14ac:dyDescent="0.6">
      <c r="B67" s="1" t="s">
        <v>213</v>
      </c>
      <c r="C67" s="151">
        <f>(C14+C15)/(C11+C12+C7)</f>
        <v>497.64705882352939</v>
      </c>
      <c r="Q67" s="26"/>
      <c r="R67" s="26"/>
    </row>
    <row r="68" spans="2:20" x14ac:dyDescent="0.6">
      <c r="Q68" s="26"/>
      <c r="R68" s="26"/>
    </row>
    <row r="69" spans="2:20" x14ac:dyDescent="0.6">
      <c r="Q69" s="26"/>
      <c r="R69" s="26"/>
    </row>
    <row r="70" spans="2:20" x14ac:dyDescent="0.6">
      <c r="O70" s="1" t="s">
        <v>12</v>
      </c>
      <c r="R70" s="26"/>
    </row>
    <row r="71" spans="2:20" x14ac:dyDescent="0.6">
      <c r="K71" s="27"/>
      <c r="M71" s="1">
        <v>1</v>
      </c>
      <c r="N71" s="1">
        <v>2</v>
      </c>
      <c r="O71" s="1">
        <v>3</v>
      </c>
      <c r="P71" s="1">
        <v>4</v>
      </c>
    </row>
    <row r="72" spans="2:20" x14ac:dyDescent="0.6">
      <c r="I72" s="25"/>
      <c r="K72" s="25"/>
      <c r="L72" s="28" t="s">
        <v>87</v>
      </c>
      <c r="M72" s="105">
        <f>($C$6*$C$7)-'Core Calculations'!M17</f>
        <v>1560</v>
      </c>
      <c r="N72" s="105">
        <f>($C$6*$C$7)-'Core Calculations'!Y17</f>
        <v>1520</v>
      </c>
      <c r="O72" s="105">
        <f>($C$6*$C$7)-'Core Calculations'!AK17</f>
        <v>1480</v>
      </c>
      <c r="P72" s="105">
        <f>($C$6*$C$7)-'Core Calculations'!AW17</f>
        <v>1440</v>
      </c>
    </row>
    <row r="73" spans="2:20" x14ac:dyDescent="0.6">
      <c r="I73" s="25"/>
      <c r="K73" s="25"/>
      <c r="L73" s="29" t="s">
        <v>88</v>
      </c>
      <c r="M73" s="106">
        <f>'Core Calculations'!M7+'Core Calculations'!M8+'Core Calculations'!M13+'Core Calculations'!M14</f>
        <v>186.99999999999997</v>
      </c>
      <c r="N73" s="106">
        <f>'Core Calculations'!Y7+'Core Calculations'!Y8+'Core Calculations'!Y13+'Core Calculations'!Y14</f>
        <v>364.65000000000009</v>
      </c>
      <c r="O73" s="106">
        <f>'Core Calculations'!AK7+'Core Calculations'!AK8+'Core Calculations'!AK13+'Core Calculations'!AK14</f>
        <v>542.3000000000003</v>
      </c>
      <c r="P73" s="106">
        <f>'Core Calculations'!AW7+'Core Calculations'!AW8+'Core Calculations'!AW13+'Core Calculations'!AW14</f>
        <v>719.95000000000039</v>
      </c>
    </row>
    <row r="74" spans="2:20" x14ac:dyDescent="0.6">
      <c r="K74" s="25"/>
      <c r="L74" s="28"/>
      <c r="M74" s="95"/>
      <c r="N74" s="95"/>
      <c r="O74" s="95"/>
      <c r="P74" s="95"/>
    </row>
    <row r="75" spans="2:20" x14ac:dyDescent="0.6">
      <c r="K75" s="25"/>
      <c r="L75" s="29"/>
      <c r="M75" s="222" t="s">
        <v>223</v>
      </c>
      <c r="N75" s="222"/>
      <c r="O75" s="222"/>
      <c r="P75" s="222"/>
    </row>
    <row r="76" spans="2:20" x14ac:dyDescent="0.6">
      <c r="O76" s="1" t="s">
        <v>12</v>
      </c>
    </row>
    <row r="77" spans="2:20" x14ac:dyDescent="0.6">
      <c r="K77" s="25"/>
      <c r="M77" s="1">
        <v>1</v>
      </c>
      <c r="N77" s="1">
        <v>2</v>
      </c>
      <c r="O77" s="1">
        <v>3</v>
      </c>
      <c r="P77" s="1">
        <v>4</v>
      </c>
    </row>
    <row r="78" spans="2:20" x14ac:dyDescent="0.6">
      <c r="I78" s="25"/>
      <c r="K78" s="25"/>
      <c r="L78" s="28" t="s">
        <v>57</v>
      </c>
      <c r="M78" s="27">
        <f>'Core Calculations'!B59</f>
        <v>64854.400000000001</v>
      </c>
      <c r="N78" s="27">
        <f>'Core Calculations'!C59</f>
        <v>181342.88</v>
      </c>
      <c r="O78" s="27">
        <f>'Core Calculations'!D59</f>
        <v>295087.52000000019</v>
      </c>
      <c r="P78" s="27">
        <f>'Core Calculations'!E59</f>
        <v>408832.16000000038</v>
      </c>
      <c r="Q78" s="25">
        <f>SUM(M78:P78)</f>
        <v>950116.96000000054</v>
      </c>
      <c r="R78" s="27"/>
      <c r="T78" s="27"/>
    </row>
    <row r="79" spans="2:20" x14ac:dyDescent="0.6">
      <c r="I79" s="25"/>
      <c r="K79" s="25"/>
      <c r="L79" s="28" t="s">
        <v>123</v>
      </c>
      <c r="M79" s="27">
        <f>'Core Calculations'!B62</f>
        <v>0</v>
      </c>
      <c r="N79" s="27">
        <f>'Core Calculations'!C62</f>
        <v>0</v>
      </c>
      <c r="O79" s="27">
        <f>'Core Calculations'!D62</f>
        <v>0</v>
      </c>
      <c r="P79" s="27">
        <f>'Core Calculations'!E62</f>
        <v>0</v>
      </c>
      <c r="Q79" s="25">
        <f t="shared" ref="Q79:Q82" si="0">SUM(M79:P79)</f>
        <v>0</v>
      </c>
      <c r="R79" s="27"/>
      <c r="T79" s="27"/>
    </row>
    <row r="80" spans="2:20" x14ac:dyDescent="0.6">
      <c r="I80" s="25"/>
      <c r="K80" s="25"/>
      <c r="L80" s="32" t="s">
        <v>22</v>
      </c>
      <c r="M80" s="95">
        <f>'Core Calculations'!B61</f>
        <v>0</v>
      </c>
      <c r="N80" s="95">
        <f>'Core Calculations'!C61</f>
        <v>0</v>
      </c>
      <c r="O80" s="95">
        <f>'Core Calculations'!D61</f>
        <v>0</v>
      </c>
      <c r="P80" s="95">
        <f>'Core Calculations'!E61</f>
        <v>0</v>
      </c>
      <c r="Q80" s="25">
        <f t="shared" si="0"/>
        <v>0</v>
      </c>
      <c r="R80" s="27"/>
      <c r="T80" s="27"/>
    </row>
    <row r="81" spans="9:20" x14ac:dyDescent="0.6">
      <c r="K81" s="25"/>
      <c r="L81" s="29" t="s">
        <v>58</v>
      </c>
      <c r="M81" s="95">
        <f>'Core Calculations'!B60</f>
        <v>126900</v>
      </c>
      <c r="N81" s="95">
        <f>'Core Calculations'!C60</f>
        <v>126900</v>
      </c>
      <c r="O81" s="95">
        <f>'Core Calculations'!D60</f>
        <v>126900</v>
      </c>
      <c r="P81" s="95">
        <f>'Core Calculations'!E60</f>
        <v>126900</v>
      </c>
      <c r="Q81" s="25">
        <f t="shared" si="0"/>
        <v>507600</v>
      </c>
      <c r="R81" s="95"/>
      <c r="T81" s="95"/>
    </row>
    <row r="82" spans="9:20" x14ac:dyDescent="0.6">
      <c r="K82" s="25"/>
      <c r="L82" s="32" t="s">
        <v>185</v>
      </c>
      <c r="M82" s="95">
        <f>'Core Calculations'!B63</f>
        <v>0</v>
      </c>
      <c r="N82" s="95">
        <f>'Core Calculations'!C63</f>
        <v>0</v>
      </c>
      <c r="O82" s="95">
        <f>'Core Calculations'!D63</f>
        <v>0</v>
      </c>
      <c r="P82" s="95">
        <f>'Core Calculations'!E63</f>
        <v>0</v>
      </c>
      <c r="Q82" s="25">
        <f t="shared" si="0"/>
        <v>0</v>
      </c>
      <c r="R82" s="95"/>
      <c r="T82" s="95"/>
    </row>
    <row r="83" spans="9:20" x14ac:dyDescent="0.6">
      <c r="I83" s="25"/>
      <c r="K83" s="25"/>
      <c r="L83" s="29"/>
      <c r="M83" s="95">
        <f>SUM(M78:M82)</f>
        <v>191754.4</v>
      </c>
      <c r="N83" s="95">
        <f t="shared" ref="N83:P83" si="1">SUM(N78:N82)</f>
        <v>308242.88</v>
      </c>
      <c r="O83" s="95">
        <f t="shared" si="1"/>
        <v>421987.52000000019</v>
      </c>
      <c r="P83" s="95">
        <f t="shared" si="1"/>
        <v>535732.16000000038</v>
      </c>
    </row>
    <row r="84" spans="9:20" x14ac:dyDescent="0.6">
      <c r="I84" s="25"/>
      <c r="K84" s="25"/>
      <c r="L84" s="29"/>
      <c r="O84" s="1" t="s">
        <v>12</v>
      </c>
    </row>
    <row r="85" spans="9:20" x14ac:dyDescent="0.6">
      <c r="K85" s="31"/>
      <c r="M85" s="1">
        <v>1</v>
      </c>
      <c r="N85" s="1">
        <v>2</v>
      </c>
      <c r="O85" s="1">
        <v>3</v>
      </c>
      <c r="P85" s="1">
        <v>4</v>
      </c>
    </row>
    <row r="86" spans="9:20" x14ac:dyDescent="0.6">
      <c r="K86" s="31"/>
      <c r="L86" s="28" t="s">
        <v>179</v>
      </c>
      <c r="M86" s="166">
        <f>(F3*$C$7*$C$9)+(F5*($C$11+$C$12))</f>
        <v>187</v>
      </c>
      <c r="N86" s="166">
        <f>(G3*$C$7*$C$9)+(G5*($C$11+$C$12))</f>
        <v>187</v>
      </c>
      <c r="O86" s="166">
        <f>(I3*$C$7*$C$9)+(I5*($C$11+$C$12))</f>
        <v>187</v>
      </c>
      <c r="P86" s="166">
        <f>(J3*$C$7*$C$9)+(J5*($C$11+$C$12))</f>
        <v>187</v>
      </c>
    </row>
    <row r="87" spans="9:20" x14ac:dyDescent="0.6">
      <c r="K87" s="31"/>
      <c r="L87" s="29"/>
      <c r="M87" s="96"/>
      <c r="N87" s="166">
        <f>M86+N86</f>
        <v>374</v>
      </c>
      <c r="O87" s="166">
        <f>N87+O86</f>
        <v>561</v>
      </c>
      <c r="P87" s="166">
        <f>O87+P86</f>
        <v>748</v>
      </c>
    </row>
    <row r="88" spans="9:20" x14ac:dyDescent="0.6">
      <c r="L88" s="29"/>
      <c r="M88" s="96"/>
      <c r="N88" s="96"/>
      <c r="O88" s="96"/>
      <c r="P88" s="96"/>
    </row>
    <row r="89" spans="9:20" hidden="1" x14ac:dyDescent="0.6">
      <c r="M89" s="32"/>
      <c r="N89" s="32"/>
      <c r="O89" s="32"/>
      <c r="P89" s="32"/>
      <c r="Q89" s="32"/>
    </row>
    <row r="90" spans="9:20" hidden="1" x14ac:dyDescent="0.6">
      <c r="L90" s="28"/>
      <c r="M90" s="33"/>
      <c r="N90" s="33"/>
      <c r="O90" s="33"/>
      <c r="P90" s="33"/>
      <c r="Q90" s="33"/>
    </row>
    <row r="91" spans="9:20" hidden="1" x14ac:dyDescent="0.6">
      <c r="I91" s="25">
        <f>SUM(N90:Q93)</f>
        <v>0</v>
      </c>
      <c r="L91" s="29"/>
      <c r="M91" s="33"/>
      <c r="N91" s="33"/>
      <c r="O91" s="33"/>
      <c r="P91" s="33"/>
      <c r="Q91" s="33"/>
    </row>
    <row r="92" spans="9:20" hidden="1" x14ac:dyDescent="0.6">
      <c r="L92" s="28"/>
      <c r="M92" s="33"/>
      <c r="N92" s="33"/>
      <c r="O92" s="33"/>
      <c r="P92" s="33"/>
      <c r="Q92" s="33"/>
    </row>
    <row r="93" spans="9:20" hidden="1" x14ac:dyDescent="0.6">
      <c r="L93" s="29"/>
      <c r="M93" s="33"/>
      <c r="N93" s="33"/>
      <c r="O93" s="33"/>
      <c r="P93" s="33"/>
      <c r="Q93" s="33"/>
    </row>
    <row r="94" spans="9:20" hidden="1" x14ac:dyDescent="0.6">
      <c r="L94" s="29"/>
      <c r="M94" s="25"/>
      <c r="N94" s="25"/>
      <c r="O94" s="25"/>
      <c r="P94" s="25"/>
      <c r="Q94" s="25"/>
    </row>
    <row r="95" spans="9:20" hidden="1" x14ac:dyDescent="0.6">
      <c r="L95" s="29"/>
      <c r="M95" s="32"/>
      <c r="N95" s="32"/>
      <c r="O95" s="32"/>
      <c r="P95" s="32"/>
      <c r="Q95" s="32"/>
    </row>
    <row r="96" spans="9:20" hidden="1" x14ac:dyDescent="0.6">
      <c r="I96" s="25">
        <f>SUM(N96:Q98)</f>
        <v>0</v>
      </c>
      <c r="L96" s="29"/>
      <c r="M96" s="25"/>
      <c r="N96" s="25"/>
      <c r="O96" s="25"/>
      <c r="P96" s="25"/>
      <c r="Q96" s="25"/>
    </row>
    <row r="97" spans="9:17" hidden="1" x14ac:dyDescent="0.6">
      <c r="L97" s="29"/>
      <c r="M97" s="30"/>
      <c r="N97" s="30"/>
      <c r="O97" s="30"/>
      <c r="P97" s="30"/>
      <c r="Q97" s="30"/>
    </row>
    <row r="98" spans="9:17" hidden="1" x14ac:dyDescent="0.6">
      <c r="L98" s="29"/>
      <c r="M98" s="34"/>
      <c r="N98" s="34"/>
      <c r="O98" s="34"/>
      <c r="P98" s="34"/>
      <c r="Q98" s="34"/>
    </row>
    <row r="99" spans="9:17" hidden="1" x14ac:dyDescent="0.6"/>
    <row r="100" spans="9:17" hidden="1" x14ac:dyDescent="0.6">
      <c r="I100" s="25">
        <f>SUM(N100:Q106)</f>
        <v>0</v>
      </c>
      <c r="L100" s="29"/>
      <c r="M100" s="25"/>
      <c r="N100" s="25"/>
      <c r="O100" s="25"/>
      <c r="P100" s="25"/>
      <c r="Q100" s="25"/>
    </row>
    <row r="101" spans="9:17" hidden="1" x14ac:dyDescent="0.6">
      <c r="L101" s="29"/>
      <c r="M101" s="25"/>
      <c r="N101" s="25"/>
      <c r="O101" s="25"/>
      <c r="P101" s="25"/>
      <c r="Q101" s="25"/>
    </row>
    <row r="102" spans="9:17" hidden="1" x14ac:dyDescent="0.6">
      <c r="L102" s="29"/>
      <c r="M102" s="25"/>
      <c r="N102" s="25"/>
      <c r="O102" s="25"/>
      <c r="P102" s="25"/>
      <c r="Q102" s="25"/>
    </row>
    <row r="103" spans="9:17" hidden="1" x14ac:dyDescent="0.6"/>
    <row r="104" spans="9:17" hidden="1" x14ac:dyDescent="0.6">
      <c r="L104" s="28"/>
      <c r="M104" s="31"/>
      <c r="N104" s="31"/>
      <c r="O104" s="31"/>
      <c r="P104" s="31"/>
      <c r="Q104" s="31"/>
    </row>
    <row r="105" spans="9:17" hidden="1" x14ac:dyDescent="0.6">
      <c r="L105" s="29"/>
      <c r="M105" s="31"/>
      <c r="N105" s="31"/>
      <c r="O105" s="31"/>
      <c r="P105" s="31"/>
      <c r="Q105" s="31"/>
    </row>
    <row r="106" spans="9:17" hidden="1" x14ac:dyDescent="0.6">
      <c r="L106" s="29"/>
      <c r="M106" s="31"/>
      <c r="N106" s="31"/>
      <c r="O106" s="31"/>
      <c r="P106" s="31"/>
      <c r="Q106" s="31"/>
    </row>
    <row r="107" spans="9:17" x14ac:dyDescent="0.6">
      <c r="M107" s="222" t="s">
        <v>224</v>
      </c>
      <c r="N107" s="222"/>
      <c r="O107" s="222"/>
      <c r="P107" s="222"/>
    </row>
    <row r="108" spans="9:17" x14ac:dyDescent="0.6">
      <c r="O108" s="1" t="s">
        <v>12</v>
      </c>
    </row>
    <row r="109" spans="9:17" x14ac:dyDescent="0.6">
      <c r="M109" s="1">
        <v>1</v>
      </c>
      <c r="N109" s="1">
        <v>2</v>
      </c>
      <c r="O109" s="1">
        <v>3</v>
      </c>
      <c r="P109" s="1">
        <v>4</v>
      </c>
    </row>
    <row r="110" spans="9:17" x14ac:dyDescent="0.6">
      <c r="L110" s="28" t="s">
        <v>130</v>
      </c>
      <c r="M110" s="25">
        <f>M78+M79-'Core Calculations'!B65</f>
        <v>24305.319999999992</v>
      </c>
      <c r="N110" s="25">
        <f>N78+N79-'Core Calculations'!C65</f>
        <v>67961.414000000004</v>
      </c>
      <c r="O110" s="25">
        <f>O78+O79-'Core Calculations'!D65</f>
        <v>105609.68600000005</v>
      </c>
      <c r="P110" s="25">
        <f>P78+P79-'Core Calculations'!E65</f>
        <v>139293.49400000053</v>
      </c>
      <c r="Q110" s="25">
        <f t="shared" ref="Q110:Q113" si="2">SUM(M110:P110)</f>
        <v>337169.91400000057</v>
      </c>
    </row>
    <row r="111" spans="9:17" x14ac:dyDescent="0.6">
      <c r="L111" s="32" t="s">
        <v>22</v>
      </c>
      <c r="M111" s="25">
        <f>M80-'Core Calculations'!B69</f>
        <v>0</v>
      </c>
      <c r="N111" s="25">
        <f>N80-'Core Calculations'!C69</f>
        <v>0</v>
      </c>
      <c r="O111" s="25">
        <f>O80-'Core Calculations'!D69</f>
        <v>0</v>
      </c>
      <c r="P111" s="25">
        <f>P80-'Core Calculations'!E69</f>
        <v>0</v>
      </c>
      <c r="Q111" s="25">
        <f t="shared" si="2"/>
        <v>0</v>
      </c>
    </row>
    <row r="112" spans="9:17" x14ac:dyDescent="0.6">
      <c r="L112" s="29" t="s">
        <v>58</v>
      </c>
      <c r="M112" s="25">
        <f>M81-'Core Calculations'!B67</f>
        <v>71900</v>
      </c>
      <c r="N112" s="25">
        <f>N81-'Core Calculations'!C67</f>
        <v>71900</v>
      </c>
      <c r="O112" s="25">
        <f>O81-'Core Calculations'!D67</f>
        <v>71900</v>
      </c>
      <c r="P112" s="25">
        <f>P81-'Core Calculations'!E67</f>
        <v>71900</v>
      </c>
      <c r="Q112" s="25">
        <f t="shared" si="2"/>
        <v>287600</v>
      </c>
    </row>
    <row r="113" spans="12:17" x14ac:dyDescent="0.6">
      <c r="L113" s="32" t="s">
        <v>185</v>
      </c>
      <c r="M113" s="25">
        <f>M82-'Core Calculations'!B68</f>
        <v>0</v>
      </c>
      <c r="N113" s="25">
        <f>N82-'Core Calculations'!C68</f>
        <v>0</v>
      </c>
      <c r="O113" s="25">
        <f>O82-'Core Calculations'!D68</f>
        <v>0</v>
      </c>
      <c r="P113" s="25">
        <f>P82-'Core Calculations'!E68</f>
        <v>0</v>
      </c>
      <c r="Q113" s="25">
        <f t="shared" si="2"/>
        <v>0</v>
      </c>
    </row>
    <row r="114" spans="12:17" x14ac:dyDescent="0.6">
      <c r="M114" s="25">
        <f>SUM(M110:M113)</f>
        <v>96205.319999999992</v>
      </c>
      <c r="N114" s="25">
        <f t="shared" ref="N114:P114" si="3">SUM(N110:N113)</f>
        <v>139861.41399999999</v>
      </c>
      <c r="O114" s="25">
        <f t="shared" si="3"/>
        <v>177509.68600000005</v>
      </c>
      <c r="P114" s="25">
        <f t="shared" si="3"/>
        <v>211193.49400000053</v>
      </c>
    </row>
    <row r="115" spans="12:17" x14ac:dyDescent="0.6">
      <c r="M115" s="31">
        <f t="shared" ref="M115:O115" si="4">M114/M83</f>
        <v>0.50171114717576226</v>
      </c>
      <c r="N115" s="31">
        <f t="shared" si="4"/>
        <v>0.453737695417328</v>
      </c>
      <c r="O115" s="31">
        <f t="shared" si="4"/>
        <v>0.42065150647109179</v>
      </c>
      <c r="P115" s="31">
        <f>P114/P83</f>
        <v>0.39421470236171818</v>
      </c>
    </row>
  </sheetData>
  <sheetProtection algorithmName="SHA-512" hashValue="e0qlUzG/SVMVOenNtWF+EzHVTDJjWwmxQCMp6u0Vl8FNEu2F7Rb0rtn5AmVmsnCcgeZPypz05BdPCcqsLPYpoQ==" saltValue="NGtmd0pYmPawbAnVDipTuA==" spinCount="100000" sheet="1" objects="1" scenarios="1"/>
  <mergeCells count="36">
    <mergeCell ref="B35:C35"/>
    <mergeCell ref="E22:I22"/>
    <mergeCell ref="E31:F31"/>
    <mergeCell ref="L33:M33"/>
    <mergeCell ref="L34:M34"/>
    <mergeCell ref="L28:P28"/>
    <mergeCell ref="E28:I28"/>
    <mergeCell ref="H31:I31"/>
    <mergeCell ref="B2:C4"/>
    <mergeCell ref="E4:E5"/>
    <mergeCell ref="G4:H4"/>
    <mergeCell ref="G5:H5"/>
    <mergeCell ref="E2:E3"/>
    <mergeCell ref="G2:H2"/>
    <mergeCell ref="G3:H3"/>
    <mergeCell ref="G6:H6"/>
    <mergeCell ref="G7:H7"/>
    <mergeCell ref="G8:H8"/>
    <mergeCell ref="G11:H11"/>
    <mergeCell ref="G9:H9"/>
    <mergeCell ref="M75:P75"/>
    <mergeCell ref="M107:P107"/>
    <mergeCell ref="G13:H13"/>
    <mergeCell ref="G12:H12"/>
    <mergeCell ref="G10:H10"/>
    <mergeCell ref="J14:J15"/>
    <mergeCell ref="G17:H17"/>
    <mergeCell ref="G18:H18"/>
    <mergeCell ref="G19:H19"/>
    <mergeCell ref="G20:H20"/>
    <mergeCell ref="G16:H16"/>
    <mergeCell ref="E25:I25"/>
    <mergeCell ref="E14:E16"/>
    <mergeCell ref="F14:F15"/>
    <mergeCell ref="G14:H15"/>
    <mergeCell ref="I14:I15"/>
  </mergeCells>
  <pageMargins left="0.7" right="0.7" top="0.75" bottom="0.75" header="0.3" footer="0.3"/>
  <pageSetup orientation="portrait" r:id="rId1"/>
  <ignoredErrors>
    <ignoredError sqref="D12:D13 H3 C55:C56 C58:C60 C49 C63:C65 C8 F11:J12 H13 F13:G13 I13:J13 C1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croll Bar 5">
              <controlPr locked="0" defaultSiz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" name="Scroll Bar 123">
              <controlPr locked="0" defaultSiz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9</xdr:col>
                    <xdr:colOff>0</xdr:colOff>
                    <xdr:row>26</xdr:row>
                    <xdr:rowOff>14288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6" name="Scroll Bar 205">
              <controlPr locked="0" defaultSiz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28</xdr:row>
                    <xdr:rowOff>204788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G16"/>
  <sheetViews>
    <sheetView showGridLines="0" zoomScaleNormal="100" workbookViewId="0">
      <selection activeCell="I30" sqref="I30"/>
    </sheetView>
  </sheetViews>
  <sheetFormatPr defaultColWidth="9.06640625" defaultRowHeight="16.5" x14ac:dyDescent="0.6"/>
  <cols>
    <col min="1" max="1" width="9.06640625" style="51"/>
    <col min="2" max="2" width="20.59765625" style="51" customWidth="1"/>
    <col min="3" max="7" width="17.59765625" style="51" customWidth="1"/>
    <col min="8" max="16384" width="9.06640625" style="51"/>
  </cols>
  <sheetData>
    <row r="2" spans="2:7" x14ac:dyDescent="0.6">
      <c r="B2" s="57" t="s">
        <v>47</v>
      </c>
    </row>
    <row r="4" spans="2:7" hidden="1" x14ac:dyDescent="0.6">
      <c r="B4" s="83"/>
      <c r="C4" s="103" t="s">
        <v>48</v>
      </c>
      <c r="D4" s="103" t="s">
        <v>49</v>
      </c>
      <c r="E4" s="103" t="s">
        <v>50</v>
      </c>
      <c r="F4" s="103" t="s">
        <v>51</v>
      </c>
      <c r="G4" s="103" t="s">
        <v>52</v>
      </c>
    </row>
    <row r="5" spans="2:7" hidden="1" x14ac:dyDescent="0.6">
      <c r="B5" s="84" t="s">
        <v>131</v>
      </c>
      <c r="C5" s="85">
        <f>IFERROR(RATE(4,,-'P&amp;L Impact Detail'!F5,'P&amp;L Impact Detail'!L5),0)</f>
        <v>0.5845334123602246</v>
      </c>
      <c r="D5" s="86">
        <f>'P&amp;L Impact Detail'!L5-'P&amp;L Impact Detail'!L13</f>
        <v>139293.49400000053</v>
      </c>
      <c r="E5" s="87">
        <v>5.5</v>
      </c>
      <c r="F5" s="86">
        <f>FV(MIN(C5,0.5),E5,,-D5)</f>
        <v>1295486.0984973726</v>
      </c>
      <c r="G5" s="86">
        <f>PV($G$12,4,,-F5)</f>
        <v>740698.38143652887</v>
      </c>
    </row>
    <row r="6" spans="2:7" hidden="1" x14ac:dyDescent="0.6">
      <c r="B6" s="84" t="s">
        <v>86</v>
      </c>
      <c r="C6" s="85">
        <f>IFERROR(RATE(3,,-'Core Calculations'!B66,'Core Calculations'!E66),0)</f>
        <v>0.86992931934338646</v>
      </c>
      <c r="D6" s="86">
        <f>-'Core Calculations'!E66</f>
        <v>-15299.999999999998</v>
      </c>
      <c r="E6" s="87">
        <v>5.5</v>
      </c>
      <c r="F6" s="86">
        <f>FV(MIN(C6,0.5),E6,,-D6)</f>
        <v>-142296.21741708714</v>
      </c>
      <c r="G6" s="86">
        <f>PV($G$12,4,,-F6)</f>
        <v>-81358.324143831502</v>
      </c>
    </row>
    <row r="7" spans="2:7" hidden="1" x14ac:dyDescent="0.6">
      <c r="B7" s="84" t="s">
        <v>31</v>
      </c>
      <c r="C7" s="85">
        <f>IFERROR(RATE(4,,-'P&amp;L Impact Detail'!F9,'P&amp;L Impact Detail'!L9),0)</f>
        <v>-4.3226115101576515E-17</v>
      </c>
      <c r="D7" s="86">
        <f>'P&amp;L Impact Detail'!L9-'P&amp;L Impact Detail'!L18</f>
        <v>71900</v>
      </c>
      <c r="E7" s="87">
        <v>1.5</v>
      </c>
      <c r="F7" s="86">
        <f>FV(MIN(C7,0.5),E7,,-D7)</f>
        <v>71900</v>
      </c>
      <c r="G7" s="86">
        <f>PV($G$12,4,,-F7)</f>
        <v>41109.058358139097</v>
      </c>
    </row>
    <row r="8" spans="2:7" hidden="1" x14ac:dyDescent="0.6">
      <c r="B8" s="84" t="s">
        <v>185</v>
      </c>
      <c r="C8" s="85">
        <f>IFERROR(RATE(4,,-'P&amp;L Impact Detail'!F10,'P&amp;L Impact Detail'!L10),0)</f>
        <v>0</v>
      </c>
      <c r="D8" s="86">
        <f>'P&amp;L Impact Detail'!L10-'P&amp;L Impact Detail'!L19</f>
        <v>0</v>
      </c>
      <c r="E8" s="87">
        <v>4.5</v>
      </c>
      <c r="F8" s="86">
        <f>FV(MIN(C8,0.5),E8,,-D8)</f>
        <v>0</v>
      </c>
      <c r="G8" s="86">
        <f>PV($G$12,4,,-F8)</f>
        <v>0</v>
      </c>
    </row>
    <row r="9" spans="2:7" hidden="1" x14ac:dyDescent="0.6">
      <c r="B9" s="84" t="s">
        <v>22</v>
      </c>
      <c r="C9" s="85">
        <f>IFERROR(RATE(4,,-'P&amp;L Impact Detail'!F6,'P&amp;L Impact Detail'!L6),0)</f>
        <v>0</v>
      </c>
      <c r="D9" s="88">
        <f>'P&amp;L Impact Detail'!L6-'P&amp;L Impact Detail'!L15</f>
        <v>0</v>
      </c>
      <c r="E9" s="87">
        <v>5</v>
      </c>
      <c r="F9" s="86">
        <f>FV(MIN(C9,0.5),E9,,-D9)</f>
        <v>0</v>
      </c>
      <c r="G9" s="88">
        <f>PV($G$12,4,,-F9)</f>
        <v>0</v>
      </c>
    </row>
    <row r="10" spans="2:7" hidden="1" x14ac:dyDescent="0.6">
      <c r="B10" s="89"/>
      <c r="C10" s="90"/>
      <c r="D10" s="86">
        <f>SUM(D5:D9)</f>
        <v>195893.49400000053</v>
      </c>
      <c r="E10" s="91"/>
      <c r="F10" s="86" t="s">
        <v>53</v>
      </c>
      <c r="G10" s="86">
        <f>SUM(G5:G9)</f>
        <v>700449.11565083649</v>
      </c>
    </row>
    <row r="11" spans="2:7" hidden="1" x14ac:dyDescent="0.6">
      <c r="D11" s="83"/>
      <c r="E11" s="83"/>
      <c r="F11" s="91"/>
      <c r="G11" s="91"/>
    </row>
    <row r="12" spans="2:7" hidden="1" x14ac:dyDescent="0.6">
      <c r="D12" s="91"/>
      <c r="E12" s="83"/>
      <c r="F12" s="57" t="s">
        <v>54</v>
      </c>
      <c r="G12" s="92">
        <v>0.15</v>
      </c>
    </row>
    <row r="14" spans="2:7" x14ac:dyDescent="0.6">
      <c r="D14" s="55"/>
      <c r="E14" s="55"/>
      <c r="F14" s="93"/>
    </row>
    <row r="15" spans="2:7" x14ac:dyDescent="0.6">
      <c r="D15" s="55"/>
    </row>
    <row r="16" spans="2:7" x14ac:dyDescent="0.6">
      <c r="D16" s="55"/>
      <c r="E16" s="55"/>
    </row>
  </sheetData>
  <sheetProtection algorithmName="SHA-512" hashValue="27OmRnpn0WI04rXVNja0fK4Xcup3qL+9FP3eIMz0Ecliin0bkQjRLr6evxVytNa4JrMTSHwBin1tjGCr8tN/Mw==" saltValue="6RKpF89L5llj6aK60nma1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1">
    <pageSetUpPr fitToPage="1"/>
  </sheetPr>
  <dimension ref="B2:Q48"/>
  <sheetViews>
    <sheetView showGridLines="0" zoomScale="90" zoomScaleNormal="90" workbookViewId="0">
      <selection activeCell="P22" sqref="P22"/>
    </sheetView>
  </sheetViews>
  <sheetFormatPr defaultColWidth="9.19921875" defaultRowHeight="16.5" x14ac:dyDescent="0.6"/>
  <cols>
    <col min="1" max="1" width="15.06640625" style="1" customWidth="1"/>
    <col min="2" max="2" width="9.19921875" style="1"/>
    <col min="3" max="3" width="5" style="1" customWidth="1"/>
    <col min="4" max="4" width="12" style="1" customWidth="1"/>
    <col min="5" max="5" width="18.46484375" style="1" customWidth="1"/>
    <col min="6" max="6" width="16.73046875" style="1" customWidth="1"/>
    <col min="7" max="7" width="9.19921875" style="1"/>
    <col min="8" max="8" width="16.73046875" style="1" customWidth="1"/>
    <col min="9" max="9" width="9.19921875" style="1"/>
    <col min="10" max="10" width="16.73046875" style="1" customWidth="1"/>
    <col min="11" max="11" width="11.265625" style="1" bestFit="1" customWidth="1"/>
    <col min="12" max="12" width="16.73046875" style="1" customWidth="1"/>
    <col min="13" max="13" width="11" style="1" customWidth="1"/>
    <col min="14" max="14" width="5.46484375" style="1" customWidth="1"/>
    <col min="15" max="15" width="12" style="1" bestFit="1" customWidth="1"/>
    <col min="16" max="16" width="11" style="45" bestFit="1" customWidth="1"/>
    <col min="17" max="17" width="35.265625" style="1" customWidth="1"/>
    <col min="18" max="16384" width="9.19921875" style="1"/>
  </cols>
  <sheetData>
    <row r="2" spans="2:17" ht="20.55" customHeight="1" x14ac:dyDescent="0.6">
      <c r="F2" s="253" t="s">
        <v>7</v>
      </c>
      <c r="G2" s="253"/>
      <c r="H2" s="253" t="s">
        <v>4</v>
      </c>
      <c r="I2" s="253"/>
      <c r="J2" s="253" t="s">
        <v>5</v>
      </c>
      <c r="K2" s="253"/>
      <c r="L2" s="253" t="s">
        <v>6</v>
      </c>
      <c r="M2" s="253"/>
      <c r="P2" s="1"/>
    </row>
    <row r="3" spans="2:17" ht="33" x14ac:dyDescent="0.6">
      <c r="F3" s="35"/>
      <c r="G3" s="36" t="s">
        <v>8</v>
      </c>
      <c r="H3" s="35"/>
      <c r="I3" s="36" t="s">
        <v>8</v>
      </c>
      <c r="J3" s="35"/>
      <c r="K3" s="36" t="s">
        <v>8</v>
      </c>
      <c r="L3" s="35"/>
      <c r="M3" s="36" t="s">
        <v>8</v>
      </c>
      <c r="P3" s="1"/>
    </row>
    <row r="4" spans="2:17" ht="16.5" customHeight="1" x14ac:dyDescent="0.6">
      <c r="B4" s="252" t="s">
        <v>18</v>
      </c>
      <c r="C4" s="1" t="s">
        <v>59</v>
      </c>
      <c r="F4" s="37"/>
      <c r="G4" s="17"/>
      <c r="H4" s="37"/>
      <c r="I4" s="17"/>
      <c r="J4" s="37"/>
      <c r="K4" s="17"/>
      <c r="L4" s="37"/>
      <c r="M4" s="17"/>
      <c r="P4" s="1"/>
    </row>
    <row r="5" spans="2:17" x14ac:dyDescent="0.6">
      <c r="B5" s="252"/>
      <c r="D5" s="1" t="s">
        <v>130</v>
      </c>
      <c r="F5" s="37">
        <f>'Core Calculations'!B59+'Core Calculations'!B62</f>
        <v>64854.400000000001</v>
      </c>
      <c r="G5" s="39">
        <f>IFERROR(F5/$F$26,0)</f>
        <v>0.33821596792563824</v>
      </c>
      <c r="H5" s="37">
        <f>'Core Calculations'!C59+'Core Calculations'!C62</f>
        <v>181342.88</v>
      </c>
      <c r="I5" s="39">
        <f>IFERROR(H5/$H$26,0)</f>
        <v>0.58831165865047719</v>
      </c>
      <c r="J5" s="37">
        <f>'Core Calculations'!D59+'Core Calculations'!D62</f>
        <v>295087.52000000019</v>
      </c>
      <c r="K5" s="39">
        <f>IFERROR(J5/$J$26,0)</f>
        <v>0.69928020620135889</v>
      </c>
      <c r="L5" s="37">
        <f>'Core Calculations'!E59+'Core Calculations'!E62</f>
        <v>408832.16000000038</v>
      </c>
      <c r="M5" s="39">
        <f>IFERROR(L5/$L$26,0)</f>
        <v>0.76312790331646341</v>
      </c>
      <c r="O5" s="25"/>
      <c r="P5" s="1"/>
    </row>
    <row r="6" spans="2:17" s="40" customFormat="1" x14ac:dyDescent="0.6">
      <c r="B6" s="252"/>
      <c r="D6" s="42" t="s">
        <v>22</v>
      </c>
      <c r="E6" s="42"/>
      <c r="F6" s="274">
        <f>'Core Calculations'!B61</f>
        <v>0</v>
      </c>
      <c r="G6" s="39">
        <f>IFERROR(F6/$F$26,0)</f>
        <v>0</v>
      </c>
      <c r="H6" s="274">
        <f>'Core Calculations'!C61</f>
        <v>0</v>
      </c>
      <c r="I6" s="39">
        <f>IFERROR(H6/$H$26,0)</f>
        <v>0</v>
      </c>
      <c r="J6" s="274">
        <f>'Core Calculations'!D61</f>
        <v>0</v>
      </c>
      <c r="K6" s="39">
        <f>IFERROR(J6/$J$26,0)</f>
        <v>0</v>
      </c>
      <c r="L6" s="274">
        <f>'Core Calculations'!E61</f>
        <v>0</v>
      </c>
      <c r="M6" s="39">
        <f>IFERROR(L6/$L$26,0)</f>
        <v>0</v>
      </c>
      <c r="O6" s="121"/>
    </row>
    <row r="7" spans="2:17" s="40" customFormat="1" x14ac:dyDescent="0.6">
      <c r="B7" s="252"/>
      <c r="D7" s="42"/>
      <c r="E7" s="42"/>
      <c r="F7" s="274"/>
      <c r="G7" s="39"/>
      <c r="H7" s="274"/>
      <c r="I7" s="39"/>
      <c r="J7" s="274"/>
      <c r="K7" s="39"/>
      <c r="L7" s="274"/>
      <c r="M7" s="39"/>
      <c r="O7" s="121"/>
    </row>
    <row r="8" spans="2:17" x14ac:dyDescent="0.6">
      <c r="B8" s="252"/>
      <c r="C8" s="1" t="s">
        <v>60</v>
      </c>
      <c r="D8" s="43"/>
      <c r="E8" s="43"/>
      <c r="F8" s="37"/>
      <c r="G8" s="39"/>
      <c r="H8" s="37"/>
      <c r="I8" s="39"/>
      <c r="J8" s="37"/>
      <c r="K8" s="39"/>
      <c r="L8" s="37"/>
      <c r="M8" s="39"/>
      <c r="O8" s="25"/>
      <c r="P8" s="1"/>
    </row>
    <row r="9" spans="2:17" x14ac:dyDescent="0.6">
      <c r="B9" s="252"/>
      <c r="D9" s="43" t="s">
        <v>58</v>
      </c>
      <c r="F9" s="37">
        <f>'Core Calculations'!B60</f>
        <v>126900</v>
      </c>
      <c r="G9" s="39">
        <f>IFERROR(F9/$F$26,0)</f>
        <v>0.66178403207436176</v>
      </c>
      <c r="H9" s="37">
        <f>'Core Calculations'!C60</f>
        <v>126900</v>
      </c>
      <c r="I9" s="39">
        <f>IFERROR(H9/$H$26,0)</f>
        <v>0.41168834134952281</v>
      </c>
      <c r="J9" s="37">
        <f>'Core Calculations'!D60</f>
        <v>126900</v>
      </c>
      <c r="K9" s="39">
        <f>IFERROR(J9/$J$26,0)</f>
        <v>0.30071979379864111</v>
      </c>
      <c r="L9" s="37">
        <f>'Core Calculations'!E60</f>
        <v>126900</v>
      </c>
      <c r="M9" s="39">
        <f>IFERROR(L9/$L$26,0)</f>
        <v>0.23687209668353662</v>
      </c>
      <c r="O9" s="25"/>
      <c r="P9" s="1"/>
    </row>
    <row r="10" spans="2:17" x14ac:dyDescent="0.6">
      <c r="B10" s="252"/>
      <c r="D10" s="43" t="s">
        <v>185</v>
      </c>
      <c r="F10" s="37">
        <f>'Core Calculations'!B63</f>
        <v>0</v>
      </c>
      <c r="G10" s="39">
        <f>IFERROR(F10/$F$26,0)</f>
        <v>0</v>
      </c>
      <c r="H10" s="37">
        <f>'Core Calculations'!C63</f>
        <v>0</v>
      </c>
      <c r="I10" s="39">
        <f>IFERROR(H10/$H$26,0)</f>
        <v>0</v>
      </c>
      <c r="J10" s="37">
        <f>'Core Calculations'!D63</f>
        <v>0</v>
      </c>
      <c r="K10" s="39">
        <f>IFERROR(J10/$J$26,0)</f>
        <v>0</v>
      </c>
      <c r="L10" s="37">
        <f>'Core Calculations'!E63</f>
        <v>0</v>
      </c>
      <c r="M10" s="39">
        <f>IFERROR(L10/$L$26,0)</f>
        <v>0</v>
      </c>
      <c r="O10" s="25"/>
      <c r="P10" s="1"/>
    </row>
    <row r="11" spans="2:17" ht="9" customHeight="1" x14ac:dyDescent="0.6">
      <c r="F11" s="37"/>
      <c r="G11" s="44"/>
      <c r="H11" s="37"/>
      <c r="I11" s="44"/>
      <c r="J11" s="37"/>
      <c r="K11" s="44"/>
      <c r="L11" s="37"/>
      <c r="M11" s="44"/>
      <c r="O11" s="25"/>
    </row>
    <row r="12" spans="2:17" ht="16.5" customHeight="1" x14ac:dyDescent="0.6">
      <c r="B12" s="252" t="s">
        <v>19</v>
      </c>
      <c r="C12" s="1" t="s">
        <v>59</v>
      </c>
      <c r="F12" s="275"/>
      <c r="G12" s="36"/>
      <c r="H12" s="275"/>
      <c r="I12" s="36"/>
      <c r="J12" s="275"/>
      <c r="K12" s="36"/>
      <c r="L12" s="275"/>
      <c r="M12" s="36"/>
      <c r="O12" s="25"/>
      <c r="P12" s="206" t="s">
        <v>225</v>
      </c>
      <c r="Q12" s="205"/>
    </row>
    <row r="13" spans="2:17" x14ac:dyDescent="0.6">
      <c r="B13" s="252"/>
      <c r="D13" s="1" t="s">
        <v>130</v>
      </c>
      <c r="F13" s="37">
        <f>'Core Calculations'!B65</f>
        <v>40549.080000000009</v>
      </c>
      <c r="G13" s="39">
        <f>IFERROR(F13/$F$26,0)</f>
        <v>0.21146362221675233</v>
      </c>
      <c r="H13" s="37">
        <f>'Core Calculations'!C65</f>
        <v>113381.466</v>
      </c>
      <c r="I13" s="39">
        <f>IFERROR(H13/$H$26,0)</f>
        <v>0.36783158138153915</v>
      </c>
      <c r="J13" s="37">
        <f>'Core Calculations'!D65</f>
        <v>189477.83400000015</v>
      </c>
      <c r="K13" s="39">
        <f>IFERROR(J13/$J$26,0)</f>
        <v>0.44901288549955237</v>
      </c>
      <c r="L13" s="37">
        <f>'Core Calculations'!E65</f>
        <v>269538.66599999985</v>
      </c>
      <c r="M13" s="39">
        <f>IFERROR(L13/$L$26,0)</f>
        <v>0.50312205636488139</v>
      </c>
      <c r="O13" s="25"/>
      <c r="P13" s="1"/>
    </row>
    <row r="14" spans="2:17" x14ac:dyDescent="0.6">
      <c r="B14" s="252"/>
      <c r="D14" s="1" t="s">
        <v>55</v>
      </c>
      <c r="F14" s="37">
        <f>'Core Calculations'!B66</f>
        <v>2340</v>
      </c>
      <c r="G14" s="39">
        <f>IFERROR(F14/$F$26,0)</f>
        <v>1.2203109811300289E-2</v>
      </c>
      <c r="H14" s="37">
        <f>'Core Calculations'!C66</f>
        <v>6660</v>
      </c>
      <c r="I14" s="39">
        <f>IFERROR(H14/$H$26,0)</f>
        <v>2.1606338482173536E-2</v>
      </c>
      <c r="J14" s="37">
        <f>'Core Calculations'!D66</f>
        <v>10979.999999999998</v>
      </c>
      <c r="K14" s="39">
        <f>IFERROR(J14/$J$26,0)</f>
        <v>2.6019726839315041E-2</v>
      </c>
      <c r="L14" s="37">
        <f>'Core Calculations'!E66</f>
        <v>15299.999999999998</v>
      </c>
      <c r="M14" s="39">
        <f>IFERROR(L14/$L$26,0)</f>
        <v>2.8559047117873205E-2</v>
      </c>
      <c r="O14" s="25"/>
      <c r="P14" s="1"/>
    </row>
    <row r="15" spans="2:17" x14ac:dyDescent="0.6">
      <c r="B15" s="252"/>
      <c r="D15" s="42" t="s">
        <v>22</v>
      </c>
      <c r="F15" s="37">
        <f>'Core Calculations'!B69</f>
        <v>0</v>
      </c>
      <c r="G15" s="39">
        <f>IFERROR(F15/$F$26,0)</f>
        <v>0</v>
      </c>
      <c r="H15" s="37">
        <f>'Core Calculations'!C69</f>
        <v>0</v>
      </c>
      <c r="I15" s="39">
        <f>IFERROR(H15/$H$26,0)</f>
        <v>0</v>
      </c>
      <c r="J15" s="37">
        <f>'Core Calculations'!D69</f>
        <v>0</v>
      </c>
      <c r="K15" s="39">
        <f>IFERROR(J15/$J$26,0)</f>
        <v>0</v>
      </c>
      <c r="L15" s="37">
        <f>'Core Calculations'!E69</f>
        <v>0</v>
      </c>
      <c r="M15" s="39">
        <f>IFERROR(L15/$L$26,0)</f>
        <v>0</v>
      </c>
      <c r="O15" s="25"/>
      <c r="P15" s="1"/>
    </row>
    <row r="16" spans="2:17" x14ac:dyDescent="0.6">
      <c r="B16" s="252"/>
      <c r="D16" s="43" t="s">
        <v>185</v>
      </c>
      <c r="E16" s="43"/>
      <c r="F16" s="276">
        <f>'Core Calculations'!B68</f>
        <v>0</v>
      </c>
      <c r="G16" s="39">
        <f>IFERROR(F16/$F$26,0)</f>
        <v>0</v>
      </c>
      <c r="H16" s="276">
        <f>'Core Calculations'!C68</f>
        <v>0</v>
      </c>
      <c r="I16" s="39">
        <f>IFERROR(H16/$H$26,0)</f>
        <v>0</v>
      </c>
      <c r="J16" s="276">
        <f>'Core Calculations'!D68</f>
        <v>0</v>
      </c>
      <c r="K16" s="39"/>
      <c r="L16" s="276">
        <f>'Core Calculations'!E68</f>
        <v>0</v>
      </c>
      <c r="M16" s="39"/>
      <c r="O16" s="47"/>
      <c r="P16" s="25"/>
    </row>
    <row r="17" spans="2:17" x14ac:dyDescent="0.6">
      <c r="B17" s="252"/>
      <c r="C17" s="1" t="s">
        <v>60</v>
      </c>
      <c r="F17" s="275"/>
      <c r="G17" s="36"/>
      <c r="H17" s="275"/>
      <c r="I17" s="36"/>
      <c r="J17" s="275"/>
      <c r="K17" s="36"/>
      <c r="L17" s="275"/>
      <c r="M17" s="36"/>
      <c r="O17" s="25"/>
      <c r="P17" s="1"/>
    </row>
    <row r="18" spans="2:17" x14ac:dyDescent="0.6">
      <c r="B18" s="252"/>
      <c r="D18" s="43" t="s">
        <v>58</v>
      </c>
      <c r="E18" s="43"/>
      <c r="F18" s="275">
        <f>'Core Calculations'!B67</f>
        <v>55000.000000000007</v>
      </c>
      <c r="G18" s="39">
        <f>IFERROR(F18/$F$26,0)</f>
        <v>0.28682523060748544</v>
      </c>
      <c r="H18" s="275">
        <f>'Core Calculations'!C67</f>
        <v>55000.000000000007</v>
      </c>
      <c r="I18" s="39">
        <f>IFERROR(H18/$H$26,0)</f>
        <v>0.17843072320113285</v>
      </c>
      <c r="J18" s="275">
        <f>'Core Calculations'!D67</f>
        <v>55000.000000000007</v>
      </c>
      <c r="K18" s="39">
        <f>IFERROR(J18/$J$26,0)</f>
        <v>0.1303356080293559</v>
      </c>
      <c r="L18" s="275">
        <f>'Core Calculations'!E67</f>
        <v>55000.000000000007</v>
      </c>
      <c r="M18" s="39">
        <f>IFERROR(L18/$L$26,0)</f>
        <v>0.10266324127340044</v>
      </c>
      <c r="O18" s="25"/>
      <c r="P18" s="25"/>
    </row>
    <row r="19" spans="2:17" x14ac:dyDescent="0.6">
      <c r="B19" s="252"/>
      <c r="D19" s="43" t="s">
        <v>185</v>
      </c>
      <c r="E19" s="43"/>
      <c r="F19" s="275">
        <f>'Core Calculations'!B68</f>
        <v>0</v>
      </c>
      <c r="G19" s="39">
        <f>IFERROR(F19/$F$26,0)</f>
        <v>0</v>
      </c>
      <c r="H19" s="275">
        <f>'Core Calculations'!C68</f>
        <v>0</v>
      </c>
      <c r="I19" s="39">
        <f>IFERROR(H19/$H$26,0)</f>
        <v>0</v>
      </c>
      <c r="J19" s="275">
        <f>'Core Calculations'!D68</f>
        <v>0</v>
      </c>
      <c r="K19" s="39">
        <f>IFERROR(J19/$J$26,0)</f>
        <v>0</v>
      </c>
      <c r="L19" s="275">
        <f>'Core Calculations'!E68</f>
        <v>0</v>
      </c>
      <c r="M19" s="39">
        <f>IFERROR(L19/$L$26,0)</f>
        <v>0</v>
      </c>
      <c r="O19" s="25"/>
      <c r="P19" s="25"/>
    </row>
    <row r="20" spans="2:17" x14ac:dyDescent="0.6">
      <c r="B20" s="252"/>
      <c r="D20" s="43"/>
      <c r="E20" s="32" t="s">
        <v>112</v>
      </c>
      <c r="F20" s="276">
        <f>1-((F18+F13+F15+F19)/(F9+F6+F5+F10))</f>
        <v>0.50171114717576226</v>
      </c>
      <c r="G20" s="39"/>
      <c r="H20" s="276">
        <f>1-((H18+H13+H15+H19)/(H9+H6+H5+H10))</f>
        <v>0.453737695417328</v>
      </c>
      <c r="I20" s="39"/>
      <c r="J20" s="276">
        <f>1-((J18+J13+J15+J19)/(J9+J6+J5+J10))</f>
        <v>0.42065150647109173</v>
      </c>
      <c r="K20" s="39"/>
      <c r="L20" s="276">
        <f>1-((L18+L13+L15+L19)/(L9+L6+L5+L10))</f>
        <v>0.39421470236171818</v>
      </c>
      <c r="M20" s="39"/>
      <c r="O20" s="25"/>
      <c r="P20" s="1"/>
    </row>
    <row r="21" spans="2:17" ht="7.5" customHeight="1" x14ac:dyDescent="0.6">
      <c r="F21" s="275"/>
      <c r="G21" s="36"/>
      <c r="H21" s="275"/>
      <c r="I21" s="36"/>
      <c r="J21" s="275"/>
      <c r="K21" s="36"/>
      <c r="L21" s="275"/>
      <c r="M21" s="36"/>
      <c r="O21" s="25"/>
      <c r="P21" s="1"/>
    </row>
    <row r="22" spans="2:17" ht="16.5" customHeight="1" x14ac:dyDescent="0.6">
      <c r="B22" s="252" t="s">
        <v>20</v>
      </c>
      <c r="D22" s="17" t="s">
        <v>99</v>
      </c>
      <c r="E22" s="17"/>
      <c r="F22" s="274">
        <f>'Core Calculations'!B71</f>
        <v>112163.11999999997</v>
      </c>
      <c r="G22" s="39">
        <f>IFERROR(F22/$F$26,0)</f>
        <v>0.58493114108463728</v>
      </c>
      <c r="H22" s="274">
        <f>'Core Calculations'!C71</f>
        <v>127728.17600000001</v>
      </c>
      <c r="I22" s="39">
        <f>IFERROR(H22/$H$26,0)</f>
        <v>0.41437510576075592</v>
      </c>
      <c r="J22" s="274">
        <f>'Core Calculations'!D71</f>
        <v>155685.41120000009</v>
      </c>
      <c r="K22" s="39">
        <f>IFERROR(J22/$J$26,0)</f>
        <v>0.36893368600095094</v>
      </c>
      <c r="L22" s="274">
        <f>'Core Calculations'!E71</f>
        <v>182984.12479999996</v>
      </c>
      <c r="M22" s="39">
        <f>IFERROR(L22/$L$26,0)</f>
        <v>0.3415589700644438</v>
      </c>
      <c r="O22" s="25"/>
      <c r="P22" s="1"/>
    </row>
    <row r="23" spans="2:17" x14ac:dyDescent="0.6">
      <c r="B23" s="252"/>
      <c r="D23" s="17" t="s">
        <v>66</v>
      </c>
      <c r="E23" s="17"/>
      <c r="F23" s="274">
        <f>'Core Calculations'!B72</f>
        <v>0</v>
      </c>
      <c r="G23" s="39">
        <f>IFERROR(F23/$F$26,0)</f>
        <v>0</v>
      </c>
      <c r="H23" s="274">
        <f>'Core Calculations'!C72</f>
        <v>0</v>
      </c>
      <c r="I23" s="39">
        <f>IFERROR(H23/$H$26,0)</f>
        <v>0</v>
      </c>
      <c r="J23" s="274">
        <f>'Core Calculations'!D72</f>
        <v>0</v>
      </c>
      <c r="K23" s="39">
        <f>IFERROR(J23/$J$26,0)</f>
        <v>0</v>
      </c>
      <c r="L23" s="274">
        <f>'Core Calculations'!E72</f>
        <v>0</v>
      </c>
      <c r="M23" s="39">
        <f>IFERROR(L23/$L$26,0)</f>
        <v>0</v>
      </c>
      <c r="O23" s="25"/>
      <c r="P23" s="1"/>
    </row>
    <row r="24" spans="2:17" x14ac:dyDescent="0.6">
      <c r="B24" s="252"/>
      <c r="D24" s="17" t="s">
        <v>69</v>
      </c>
      <c r="E24" s="17"/>
      <c r="F24" s="274">
        <f>'Core Calculations'!B73+'Core Calculations'!B74</f>
        <v>0</v>
      </c>
      <c r="G24" s="39">
        <f>IFERROR(F24/$F$26,0)</f>
        <v>0</v>
      </c>
      <c r="H24" s="274">
        <f>'Core Calculations'!C73+'Core Calculations'!C74</f>
        <v>0</v>
      </c>
      <c r="I24" s="39">
        <f>IFERROR(H24/$H$26,0)</f>
        <v>0</v>
      </c>
      <c r="J24" s="274">
        <f>'Core Calculations'!D73+'Core Calculations'!D74</f>
        <v>0</v>
      </c>
      <c r="K24" s="39">
        <f>IFERROR(J24/$J$26,0)</f>
        <v>0</v>
      </c>
      <c r="L24" s="274">
        <f>'Core Calculations'!E73+'Core Calculations'!E74</f>
        <v>0</v>
      </c>
      <c r="M24" s="39">
        <f>IFERROR(L24/$L$26,0)</f>
        <v>0</v>
      </c>
      <c r="O24" s="25"/>
      <c r="P24" s="1"/>
    </row>
    <row r="25" spans="2:17" ht="7.5" customHeight="1" x14ac:dyDescent="0.6">
      <c r="F25" s="25"/>
      <c r="G25" s="47"/>
      <c r="H25" s="25"/>
      <c r="I25" s="47"/>
      <c r="J25" s="25"/>
      <c r="K25" s="47"/>
      <c r="L25" s="25"/>
      <c r="M25" s="47"/>
      <c r="O25" s="25"/>
      <c r="P25" s="1"/>
    </row>
    <row r="26" spans="2:17" x14ac:dyDescent="0.6">
      <c r="C26" s="1" t="s">
        <v>0</v>
      </c>
      <c r="F26" s="25">
        <f>F5+F6+F9+F10</f>
        <v>191754.4</v>
      </c>
      <c r="H26" s="25">
        <f>H5+H6+H9+H10</f>
        <v>308242.88</v>
      </c>
      <c r="J26" s="25">
        <f>J5+J6+J9+J10</f>
        <v>421987.52000000019</v>
      </c>
      <c r="L26" s="25">
        <f>L5+L6+L9+L10</f>
        <v>535732.16000000038</v>
      </c>
      <c r="M26" s="26"/>
      <c r="O26" s="25"/>
      <c r="P26" s="1"/>
    </row>
    <row r="27" spans="2:17" x14ac:dyDescent="0.6">
      <c r="C27" s="1" t="s">
        <v>1</v>
      </c>
      <c r="F27" s="25">
        <f>F13+F22+F23+F18+F14+F24+F15+F19</f>
        <v>210052.19999999998</v>
      </c>
      <c r="H27" s="25">
        <f>H13+H22+H23+H18+H14+H24+H15+H19</f>
        <v>302769.64199999999</v>
      </c>
      <c r="J27" s="25">
        <f>J13+J22+J23+J18+J14+J24+J15+J19</f>
        <v>411143.24520000024</v>
      </c>
      <c r="L27" s="25">
        <f>L13+L22+L23+L18+L14+L24+L15+L19</f>
        <v>522822.79079999984</v>
      </c>
      <c r="M27" s="26"/>
      <c r="O27" s="25"/>
      <c r="P27" s="1"/>
    </row>
    <row r="28" spans="2:17" ht="9.75" customHeight="1" x14ac:dyDescent="0.6">
      <c r="F28" s="25"/>
      <c r="H28" s="25"/>
      <c r="J28" s="25"/>
      <c r="L28" s="25"/>
      <c r="P28" s="1"/>
    </row>
    <row r="29" spans="2:17" x14ac:dyDescent="0.6">
      <c r="C29" s="1" t="s">
        <v>2</v>
      </c>
      <c r="F29" s="277">
        <f>F26-F27</f>
        <v>-18297.799999999988</v>
      </c>
      <c r="G29" s="48"/>
      <c r="H29" s="277">
        <f>H26-H27</f>
        <v>5473.2380000000121</v>
      </c>
      <c r="I29" s="48"/>
      <c r="J29" s="277">
        <f>J26-J27</f>
        <v>10844.274799999956</v>
      </c>
      <c r="K29" s="48"/>
      <c r="L29" s="277">
        <f>L26-L27</f>
        <v>12909.369200000539</v>
      </c>
      <c r="P29" s="1"/>
    </row>
    <row r="30" spans="2:17" ht="9.4" customHeight="1" x14ac:dyDescent="0.6">
      <c r="F30" s="26"/>
    </row>
    <row r="31" spans="2:17" x14ac:dyDescent="0.6">
      <c r="C31" s="1" t="s">
        <v>3</v>
      </c>
      <c r="F31" s="49">
        <f>IFERROR(F29/F26,0)</f>
        <v>-9.5423103720175331E-2</v>
      </c>
      <c r="G31" s="50"/>
      <c r="H31" s="49">
        <f>IFERROR(H29/H26,0)</f>
        <v>1.7756251174398618E-2</v>
      </c>
      <c r="I31" s="50"/>
      <c r="J31" s="49">
        <f>IFERROR(J29/J26,0)</f>
        <v>2.5698093630825744E-2</v>
      </c>
      <c r="K31" s="50"/>
      <c r="L31" s="49">
        <f>IFERROR(L29/L26,0)</f>
        <v>2.4096685179401084E-2</v>
      </c>
      <c r="M31" s="47"/>
    </row>
    <row r="32" spans="2:17" ht="10.15" customHeight="1" x14ac:dyDescent="0.6">
      <c r="H32" s="47"/>
      <c r="J32" s="47"/>
      <c r="L32" s="47"/>
      <c r="O32" s="17"/>
      <c r="P32" s="22"/>
      <c r="Q32" s="17"/>
    </row>
    <row r="33" spans="5:15" x14ac:dyDescent="0.6">
      <c r="E33" s="254" t="s">
        <v>63</v>
      </c>
      <c r="F33" s="254"/>
      <c r="G33" s="254"/>
      <c r="H33" s="278">
        <f>IF(-MIN('Core Calculations'!B55:AW55)&gt;0,-MIN('Core Calculations'!B55:AW55),0)</f>
        <v>18321.819999999996</v>
      </c>
      <c r="J33" s="256" t="s">
        <v>108</v>
      </c>
      <c r="K33" s="256"/>
      <c r="L33" s="256"/>
      <c r="M33" s="280">
        <f>'Valuation Calculations'!G10</f>
        <v>700449.11565083649</v>
      </c>
      <c r="N33" s="280"/>
      <c r="O33" s="144"/>
    </row>
    <row r="34" spans="5:15" x14ac:dyDescent="0.6">
      <c r="E34" s="255" t="s">
        <v>64</v>
      </c>
      <c r="F34" s="255"/>
      <c r="G34" s="255"/>
      <c r="H34" s="279">
        <f>ROUNDUP(H33*2,-5)</f>
        <v>100000</v>
      </c>
      <c r="J34" s="256" t="s">
        <v>109</v>
      </c>
      <c r="K34" s="256"/>
      <c r="L34" s="256"/>
      <c r="M34" s="257">
        <f>M33/L26</f>
        <v>1.307461391996396</v>
      </c>
      <c r="N34" s="257"/>
      <c r="O34" s="145"/>
    </row>
    <row r="41" spans="5:15" hidden="1" x14ac:dyDescent="0.6">
      <c r="I41" s="1" t="s">
        <v>16</v>
      </c>
      <c r="J41" s="26">
        <f>F26*0.82</f>
        <v>157238.60799999998</v>
      </c>
      <c r="K41" s="26">
        <f>F26*0.18</f>
        <v>34515.792000000001</v>
      </c>
      <c r="L41" s="53"/>
    </row>
    <row r="42" spans="5:15" hidden="1" x14ac:dyDescent="0.6">
      <c r="I42" s="1" t="s">
        <v>17</v>
      </c>
      <c r="J42" s="26" t="e">
        <f>J41+#REF!</f>
        <v>#REF!</v>
      </c>
      <c r="K42" s="26" t="e">
        <f>K41+#REF!</f>
        <v>#REF!</v>
      </c>
    </row>
    <row r="43" spans="5:15" hidden="1" x14ac:dyDescent="0.6"/>
    <row r="44" spans="5:15" hidden="1" x14ac:dyDescent="0.6">
      <c r="J44" s="26">
        <v>3167250</v>
      </c>
      <c r="K44" s="26">
        <v>695250</v>
      </c>
      <c r="L44" s="26">
        <f>SUM(J44:K44)</f>
        <v>3862500</v>
      </c>
    </row>
    <row r="45" spans="5:15" hidden="1" x14ac:dyDescent="0.6">
      <c r="I45" s="31"/>
      <c r="J45" s="54">
        <v>3209750</v>
      </c>
      <c r="K45" s="54">
        <v>1524427.734375</v>
      </c>
      <c r="L45" s="26">
        <f>SUM(J45:K45)</f>
        <v>4734177.734375</v>
      </c>
    </row>
    <row r="46" spans="5:15" hidden="1" x14ac:dyDescent="0.6">
      <c r="I46" s="31"/>
      <c r="J46" s="31"/>
      <c r="K46" s="31"/>
      <c r="L46" s="31"/>
    </row>
    <row r="47" spans="5:15" hidden="1" x14ac:dyDescent="0.6">
      <c r="I47" s="31"/>
      <c r="J47" s="31">
        <f>J44/L44</f>
        <v>0.82</v>
      </c>
      <c r="K47" s="31">
        <f>K44/L44</f>
        <v>0.18</v>
      </c>
      <c r="L47" s="31"/>
    </row>
    <row r="48" spans="5:15" hidden="1" x14ac:dyDescent="0.6">
      <c r="I48" s="31"/>
      <c r="J48" s="31">
        <f>J45/L45</f>
        <v>0.67799524650160758</v>
      </c>
      <c r="K48" s="31">
        <f>K45/L45</f>
        <v>0.32200475349839247</v>
      </c>
      <c r="L48" s="31"/>
    </row>
  </sheetData>
  <sheetProtection algorithmName="SHA-512" hashValue="Jpk5wuQzFk/1P//pirbL85PHZpcf6woPt11kW6f60vK5i3hrsMYHgzehSQb4ZWyOg6PLQoPYry8O841ZfVQmLQ==" saltValue="ueh9XdQNcl/MgYncVqP0xw==" spinCount="100000" sheet="1" objects="1" scenarios="1"/>
  <mergeCells count="13">
    <mergeCell ref="E33:G33"/>
    <mergeCell ref="E34:G34"/>
    <mergeCell ref="J33:L33"/>
    <mergeCell ref="J34:L34"/>
    <mergeCell ref="M33:N33"/>
    <mergeCell ref="M34:N34"/>
    <mergeCell ref="B22:B24"/>
    <mergeCell ref="J2:K2"/>
    <mergeCell ref="L2:M2"/>
    <mergeCell ref="F2:G2"/>
    <mergeCell ref="H2:I2"/>
    <mergeCell ref="B4:B10"/>
    <mergeCell ref="B12:B20"/>
  </mergeCells>
  <pageMargins left="0.7" right="0.7" top="0.75" bottom="0.75" header="0.3" footer="0.3"/>
  <pageSetup scale="48" orientation="landscape" r:id="rId1"/>
  <ignoredErrors>
    <ignoredError sqref="F21 F28:L29 F17 G26:G27 I26:I27 K26:K27 G30:L30 G31 I31 K31 G12:L12 G18 G21:L21 G17:L17 I18 K18 G22:G23 I22:I23 K22:K2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3:AX52"/>
  <sheetViews>
    <sheetView showGridLines="0" topLeftCell="D1" zoomScale="90" zoomScaleNormal="90" workbookViewId="0">
      <selection activeCell="I35" sqref="I35"/>
    </sheetView>
  </sheetViews>
  <sheetFormatPr defaultColWidth="9.06640625" defaultRowHeight="16.5" x14ac:dyDescent="0.6"/>
  <cols>
    <col min="1" max="6" width="9.06640625" style="51"/>
    <col min="7" max="7" width="13.19921875" style="51" customWidth="1"/>
    <col min="8" max="16384" width="9.06640625" style="51"/>
  </cols>
  <sheetData>
    <row r="33" spans="8:12" x14ac:dyDescent="0.6">
      <c r="L33" s="206" t="s">
        <v>225</v>
      </c>
    </row>
    <row r="35" spans="8:12" x14ac:dyDescent="0.6">
      <c r="H35" s="32" t="s">
        <v>226</v>
      </c>
      <c r="I35" s="55">
        <f>'P&amp;L Impact Detail'!H34</f>
        <v>100000</v>
      </c>
    </row>
    <row r="52" spans="2:50" x14ac:dyDescent="0.6">
      <c r="B52" s="56" t="str">
        <f>'Core Calculations'!A55</f>
        <v>Monthly Cumulative Cash Flow</v>
      </c>
      <c r="C52" s="55">
        <f>'Core Calculations'!B55</f>
        <v>-3073.6533333333318</v>
      </c>
      <c r="D52" s="55">
        <f>'Core Calculations'!C55</f>
        <v>-5865.6999999999971</v>
      </c>
      <c r="E52" s="55">
        <f>'Core Calculations'!D55</f>
        <v>-8376.1399999999958</v>
      </c>
      <c r="F52" s="55">
        <f>'Core Calculations'!E55</f>
        <v>-10604.973333333328</v>
      </c>
      <c r="G52" s="55">
        <f>'Core Calculations'!F55</f>
        <v>-12552.199999999993</v>
      </c>
      <c r="H52" s="55">
        <f>'Core Calculations'!G55</f>
        <v>-14217.819999999992</v>
      </c>
      <c r="I52" s="55">
        <f>'Core Calculations'!H55</f>
        <v>-15601.833333333325</v>
      </c>
      <c r="J52" s="55">
        <f>'Core Calculations'!I55</f>
        <v>-16704.239999999991</v>
      </c>
      <c r="K52" s="55">
        <f>'Core Calculations'!J55</f>
        <v>-17525.03999999999</v>
      </c>
      <c r="L52" s="55">
        <f>'Core Calculations'!K55</f>
        <v>-18064.233333333326</v>
      </c>
      <c r="M52" s="55">
        <f>'Core Calculations'!L55</f>
        <v>-18321.819999999996</v>
      </c>
      <c r="N52" s="55">
        <f>'Core Calculations'!M55</f>
        <v>-18297.799999999996</v>
      </c>
      <c r="O52" s="55">
        <f>'Core Calculations'!N55</f>
        <v>-18207.30566666666</v>
      </c>
      <c r="P52" s="55">
        <f>'Core Calculations'!O55</f>
        <v>-18050.336999999992</v>
      </c>
      <c r="Q52" s="55">
        <f>'Core Calculations'!P55</f>
        <v>-17826.893999999993</v>
      </c>
      <c r="R52" s="55">
        <f>'Core Calculations'!Q55</f>
        <v>-17536.976666666655</v>
      </c>
      <c r="S52" s="55">
        <f>'Core Calculations'!R55</f>
        <v>-17180.584999999985</v>
      </c>
      <c r="T52" s="55">
        <f>'Core Calculations'!S55</f>
        <v>-16757.718999999983</v>
      </c>
      <c r="U52" s="55">
        <f>'Core Calculations'!T55</f>
        <v>-16268.378666666649</v>
      </c>
      <c r="V52" s="55">
        <f>'Core Calculations'!U55</f>
        <v>-15712.56399999998</v>
      </c>
      <c r="W52" s="55">
        <f>'Core Calculations'!V55</f>
        <v>-15090.274999999972</v>
      </c>
      <c r="X52" s="55">
        <f>'Core Calculations'!W55</f>
        <v>-14401.511666666633</v>
      </c>
      <c r="Y52" s="55">
        <f>'Core Calculations'!X55</f>
        <v>-13646.273999999965</v>
      </c>
      <c r="Z52" s="55">
        <f>'Core Calculations'!Y55</f>
        <v>-12824.561999999962</v>
      </c>
      <c r="AA52" s="55">
        <f>'Core Calculations'!Z55</f>
        <v>-11990.238066666621</v>
      </c>
      <c r="AB52" s="55">
        <f>'Core Calculations'!AA55</f>
        <v>-11143.302199999955</v>
      </c>
      <c r="AC52" s="55">
        <f>'Core Calculations'!AB55</f>
        <v>-10283.754399999947</v>
      </c>
      <c r="AD52" s="55">
        <f>'Core Calculations'!AC55</f>
        <v>-9411.5946666666059</v>
      </c>
      <c r="AE52" s="55">
        <f>'Core Calculations'!AD55</f>
        <v>-8526.8229999999239</v>
      </c>
      <c r="AF52" s="55">
        <f>'Core Calculations'!AE55</f>
        <v>-7629.4393999999156</v>
      </c>
      <c r="AG52" s="55">
        <f>'Core Calculations'!AF55</f>
        <v>-6719.4438666665737</v>
      </c>
      <c r="AH52" s="55">
        <f>'Core Calculations'!AG55</f>
        <v>-5796.8363999998983</v>
      </c>
      <c r="AI52" s="55">
        <f>'Core Calculations'!AH55</f>
        <v>-4861.6169999998892</v>
      </c>
      <c r="AJ52" s="55">
        <f>'Core Calculations'!AI55</f>
        <v>-3913.7856666665466</v>
      </c>
      <c r="AK52" s="55">
        <f>'Core Calculations'!AJ55</f>
        <v>-2953.3423999998704</v>
      </c>
      <c r="AL52" s="55">
        <f>'Core Calculations'!AK55</f>
        <v>-1980.2871999998606</v>
      </c>
      <c r="AM52" s="55">
        <f>'Core Calculations'!AL55</f>
        <v>-991.4280666665145</v>
      </c>
      <c r="AN52" s="55">
        <f>'Core Calculations'!AM55</f>
        <v>13.235000000167929</v>
      </c>
      <c r="AO52" s="55">
        <f>'Core Calculations'!AN55</f>
        <v>1033.7020000001794</v>
      </c>
      <c r="AP52" s="55">
        <f>'Core Calculations'!AO55</f>
        <v>2069.9729333335272</v>
      </c>
      <c r="AQ52" s="55">
        <f>'Core Calculations'!AP55</f>
        <v>3122.0478000002113</v>
      </c>
      <c r="AR52" s="55">
        <f>'Core Calculations'!AQ55</f>
        <v>4189.9266000002317</v>
      </c>
      <c r="AS52" s="55">
        <f>'Core Calculations'!AR55</f>
        <v>5273.6093333335884</v>
      </c>
      <c r="AT52" s="55">
        <f>'Core Calculations'!AS55</f>
        <v>6373.0960000002669</v>
      </c>
      <c r="AU52" s="55">
        <f>'Core Calculations'!AT55</f>
        <v>7488.386600000289</v>
      </c>
      <c r="AV52" s="55">
        <f>'Core Calculations'!AU55</f>
        <v>8619.4811333336329</v>
      </c>
      <c r="AW52" s="55">
        <f>'Core Calculations'!AV55</f>
        <v>9766.3796000003204</v>
      </c>
      <c r="AX52" s="55">
        <f>'Core Calculations'!AW55</f>
        <v>10929.082000000344</v>
      </c>
    </row>
  </sheetData>
  <sheetProtection algorithmName="SHA-512" hashValue="VA1KJWLAkrVznktYIwatt++TDpFMVOH3N5QAEbTYq6DwaEWltTP47s729ZiJpcGo4yJxM5iNOZuzwUFU09SoAQ==" saltValue="Lju5P1NJjpINa3hUGZeLw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AY63"/>
  <sheetViews>
    <sheetView showGridLines="0" workbookViewId="0">
      <selection activeCell="C46" activeCellId="2" sqref="C36:D37 C40:D40 C46:AX63"/>
    </sheetView>
  </sheetViews>
  <sheetFormatPr defaultColWidth="9.06640625" defaultRowHeight="16.5" x14ac:dyDescent="0.6"/>
  <cols>
    <col min="1" max="1" width="4.59765625" style="51" customWidth="1"/>
    <col min="2" max="2" width="58.06640625" style="51" customWidth="1"/>
    <col min="3" max="3" width="17.33203125" style="51" customWidth="1"/>
    <col min="4" max="16384" width="9.06640625" style="51"/>
  </cols>
  <sheetData>
    <row r="3" spans="5:5" x14ac:dyDescent="0.6">
      <c r="E3" s="119"/>
    </row>
    <row r="4" spans="5:5" x14ac:dyDescent="0.6">
      <c r="E4" s="119"/>
    </row>
    <row r="5" spans="5:5" x14ac:dyDescent="0.6">
      <c r="E5" s="117"/>
    </row>
    <row r="21" spans="2:5" x14ac:dyDescent="0.6">
      <c r="E21" s="110"/>
    </row>
    <row r="22" spans="2:5" x14ac:dyDescent="0.6">
      <c r="C22" s="109"/>
      <c r="D22" s="109"/>
    </row>
    <row r="23" spans="2:5" x14ac:dyDescent="0.6">
      <c r="C23" s="109"/>
      <c r="D23" s="109"/>
    </row>
    <row r="24" spans="2:5" x14ac:dyDescent="0.6">
      <c r="B24" s="51" t="s">
        <v>163</v>
      </c>
      <c r="C24" s="109">
        <f>C36</f>
        <v>4800</v>
      </c>
      <c r="D24" s="109"/>
    </row>
    <row r="25" spans="2:5" x14ac:dyDescent="0.6">
      <c r="B25" s="51" t="s">
        <v>164</v>
      </c>
      <c r="C25" s="109">
        <f>C37</f>
        <v>7962.2399999999989</v>
      </c>
      <c r="D25" s="111"/>
    </row>
    <row r="26" spans="2:5" x14ac:dyDescent="0.6">
      <c r="B26" s="51" t="s">
        <v>165</v>
      </c>
      <c r="C26" s="109">
        <f>C40</f>
        <v>5328</v>
      </c>
    </row>
    <row r="27" spans="2:5" x14ac:dyDescent="0.6">
      <c r="D27" s="112"/>
    </row>
    <row r="28" spans="2:5" x14ac:dyDescent="0.6">
      <c r="B28" s="159" t="s">
        <v>219</v>
      </c>
    </row>
    <row r="29" spans="2:5" x14ac:dyDescent="0.6">
      <c r="B29" s="159" t="s">
        <v>220</v>
      </c>
    </row>
    <row r="30" spans="2:5" x14ac:dyDescent="0.6">
      <c r="C30" s="206" t="s">
        <v>225</v>
      </c>
    </row>
    <row r="35" spans="2:50" ht="33" x14ac:dyDescent="0.6">
      <c r="C35" s="157" t="s">
        <v>148</v>
      </c>
      <c r="D35" s="157" t="s">
        <v>149</v>
      </c>
    </row>
    <row r="36" spans="2:50" x14ac:dyDescent="0.6">
      <c r="B36" s="51" t="s">
        <v>91</v>
      </c>
      <c r="C36" s="109">
        <f>'Key Business Variables'!C7*'Key Business Variables'!C8</f>
        <v>4800</v>
      </c>
      <c r="D36" s="109">
        <f>C36*'Key Business Variables'!C24</f>
        <v>864</v>
      </c>
      <c r="E36" s="118">
        <f>D36/C36</f>
        <v>0.18</v>
      </c>
    </row>
    <row r="37" spans="2:50" x14ac:dyDescent="0.6">
      <c r="B37" s="51" t="s">
        <v>133</v>
      </c>
      <c r="C37" s="109">
        <f>('Core Calculations'!K60+'Core Calculations'!K68)*'Key Business Variables'!C7*12*'Key Business Variables'!C9</f>
        <v>7962.2399999999989</v>
      </c>
      <c r="D37" s="109">
        <f>('Core Calculations'!K60-'Core Calculations'!L60+'Core Calculations'!N68)*'Key Business Variables'!C7*'Key Business Variables'!C9*12</f>
        <v>2985.8399999999997</v>
      </c>
      <c r="E37" s="118">
        <f t="shared" ref="E37:E40" si="0">D37/C37</f>
        <v>0.375</v>
      </c>
    </row>
    <row r="38" spans="2:50" x14ac:dyDescent="0.6">
      <c r="B38" s="51" t="s">
        <v>105</v>
      </c>
      <c r="C38" s="118">
        <f>(C37/C36)-1</f>
        <v>0.65879999999999983</v>
      </c>
      <c r="D38" s="118">
        <f>(D37/D36)-1</f>
        <v>2.4558333333333331</v>
      </c>
      <c r="E38" s="111"/>
    </row>
    <row r="39" spans="2:50" x14ac:dyDescent="0.6">
      <c r="C39" s="152">
        <f>C37/C36</f>
        <v>1.6587999999999998</v>
      </c>
      <c r="D39" s="152">
        <f>D37/D36</f>
        <v>3.4558333333333331</v>
      </c>
      <c r="E39" s="111"/>
    </row>
    <row r="40" spans="2:50" x14ac:dyDescent="0.6">
      <c r="B40" s="51" t="s">
        <v>134</v>
      </c>
      <c r="C40" s="109">
        <f>('Key Business Variables'!C11+'Key Business Variables'!C12)*('Core Calculations'!K59+'Core Calculations'!K68)*12</f>
        <v>5328</v>
      </c>
      <c r="D40" s="109">
        <f>('Core Calculations'!K59-'Core Calculations'!L59+'Core Calculations'!N68)*('Key Business Variables'!C11+'Key Business Variables'!C12)*12</f>
        <v>1935.84</v>
      </c>
      <c r="E40" s="118">
        <f t="shared" si="0"/>
        <v>0.36333333333333334</v>
      </c>
    </row>
    <row r="41" spans="2:50" x14ac:dyDescent="0.6">
      <c r="C41" s="118">
        <f>C40/C37-1</f>
        <v>-0.33084157222088251</v>
      </c>
      <c r="D41" s="118">
        <f>D40/D37-1</f>
        <v>-0.35165983441845505</v>
      </c>
    </row>
    <row r="42" spans="2:50" x14ac:dyDescent="0.6">
      <c r="O42" s="160"/>
    </row>
    <row r="43" spans="2:50" x14ac:dyDescent="0.6">
      <c r="C43" s="160"/>
    </row>
    <row r="45" spans="2:50" x14ac:dyDescent="0.6">
      <c r="C45" s="83">
        <v>1</v>
      </c>
      <c r="D45" s="83">
        <v>2</v>
      </c>
      <c r="E45" s="83">
        <v>3</v>
      </c>
      <c r="F45" s="83">
        <v>4</v>
      </c>
      <c r="G45" s="83">
        <v>5</v>
      </c>
      <c r="H45" s="83">
        <v>6</v>
      </c>
      <c r="I45" s="83">
        <v>7</v>
      </c>
      <c r="J45" s="83">
        <v>8</v>
      </c>
      <c r="K45" s="83">
        <v>9</v>
      </c>
      <c r="L45" s="83">
        <v>10</v>
      </c>
      <c r="M45" s="83">
        <v>11</v>
      </c>
      <c r="N45" s="83">
        <v>12</v>
      </c>
      <c r="O45" s="83">
        <v>13</v>
      </c>
      <c r="P45" s="83">
        <v>14</v>
      </c>
      <c r="Q45" s="83">
        <v>15</v>
      </c>
      <c r="R45" s="83">
        <v>16</v>
      </c>
      <c r="S45" s="83">
        <v>17</v>
      </c>
      <c r="T45" s="83">
        <v>18</v>
      </c>
      <c r="U45" s="83">
        <v>19</v>
      </c>
      <c r="V45" s="83">
        <v>20</v>
      </c>
      <c r="W45" s="83">
        <v>21</v>
      </c>
      <c r="X45" s="83">
        <v>22</v>
      </c>
      <c r="Y45" s="83">
        <v>23</v>
      </c>
      <c r="Z45" s="83">
        <v>24</v>
      </c>
      <c r="AA45" s="83">
        <v>25</v>
      </c>
      <c r="AB45" s="83">
        <v>26</v>
      </c>
      <c r="AC45" s="83">
        <v>27</v>
      </c>
      <c r="AD45" s="83">
        <v>28</v>
      </c>
      <c r="AE45" s="83">
        <v>29</v>
      </c>
      <c r="AF45" s="83">
        <v>30</v>
      </c>
      <c r="AG45" s="83">
        <v>31</v>
      </c>
      <c r="AH45" s="83">
        <v>32</v>
      </c>
      <c r="AI45" s="83">
        <v>33</v>
      </c>
      <c r="AJ45" s="83">
        <v>34</v>
      </c>
      <c r="AK45" s="83">
        <v>35</v>
      </c>
      <c r="AL45" s="83">
        <v>36</v>
      </c>
      <c r="AM45" s="83">
        <v>37</v>
      </c>
      <c r="AN45" s="83">
        <v>38</v>
      </c>
      <c r="AO45" s="83">
        <v>39</v>
      </c>
      <c r="AP45" s="83">
        <v>40</v>
      </c>
      <c r="AQ45" s="83">
        <v>41</v>
      </c>
      <c r="AR45" s="83">
        <v>42</v>
      </c>
      <c r="AS45" s="83">
        <v>43</v>
      </c>
      <c r="AT45" s="83">
        <v>44</v>
      </c>
      <c r="AU45" s="83">
        <v>45</v>
      </c>
      <c r="AV45" s="83">
        <v>46</v>
      </c>
      <c r="AW45" s="83">
        <v>47</v>
      </c>
      <c r="AX45" s="83">
        <v>48</v>
      </c>
    </row>
    <row r="46" spans="2:50" x14ac:dyDescent="0.6">
      <c r="B46" s="51" t="s">
        <v>159</v>
      </c>
      <c r="C46" s="91">
        <f>('Key Business Variables'!C51*'Key Business Variables'!C11*'Key Business Variables'!C23)</f>
        <v>6300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>
        <f>'Key Business Variables'!$C$51*'Key Business Variables'!$C$52*'Key Business Variables'!$C$11*'Key Business Variables'!$C$24/12</f>
        <v>43.199999999999996</v>
      </c>
      <c r="P46" s="91">
        <f>'Key Business Variables'!$C$51*'Key Business Variables'!$C$52*'Key Business Variables'!$C$11*'Key Business Variables'!$C$24/12</f>
        <v>43.199999999999996</v>
      </c>
      <c r="Q46" s="91">
        <f>'Key Business Variables'!$C$51*'Key Business Variables'!$C$52*'Key Business Variables'!$C$11*'Key Business Variables'!$C$24/12</f>
        <v>43.199999999999996</v>
      </c>
      <c r="R46" s="91">
        <f>'Key Business Variables'!$C$51*'Key Business Variables'!$C$52*'Key Business Variables'!$C$11*'Key Business Variables'!$C$24/12</f>
        <v>43.199999999999996</v>
      </c>
      <c r="S46" s="91">
        <f>'Key Business Variables'!$C$51*'Key Business Variables'!$C$52*'Key Business Variables'!$C$11*'Key Business Variables'!$C$24/12</f>
        <v>43.199999999999996</v>
      </c>
      <c r="T46" s="91">
        <f>'Key Business Variables'!$C$51*'Key Business Variables'!$C$52*'Key Business Variables'!$C$11*'Key Business Variables'!$C$24/12</f>
        <v>43.199999999999996</v>
      </c>
      <c r="U46" s="91">
        <f>'Key Business Variables'!$C$51*'Key Business Variables'!$C$52*'Key Business Variables'!$C$11*'Key Business Variables'!$C$24/12</f>
        <v>43.199999999999996</v>
      </c>
      <c r="V46" s="91">
        <f>'Key Business Variables'!$C$51*'Key Business Variables'!$C$52*'Key Business Variables'!$C$11*'Key Business Variables'!$C$24/12</f>
        <v>43.199999999999996</v>
      </c>
      <c r="W46" s="91">
        <f>'Key Business Variables'!$C$51*'Key Business Variables'!$C$52*'Key Business Variables'!$C$11*'Key Business Variables'!$C$24/12</f>
        <v>43.199999999999996</v>
      </c>
      <c r="X46" s="91">
        <f>'Key Business Variables'!$C$51*'Key Business Variables'!$C$52*'Key Business Variables'!$C$11*'Key Business Variables'!$C$24/12</f>
        <v>43.199999999999996</v>
      </c>
      <c r="Y46" s="91">
        <f>'Key Business Variables'!$C$51*'Key Business Variables'!$C$52*'Key Business Variables'!$C$11*'Key Business Variables'!$C$24/12</f>
        <v>43.199999999999996</v>
      </c>
      <c r="Z46" s="91">
        <f>'Key Business Variables'!$C$51*'Key Business Variables'!$C$52*'Key Business Variables'!$C$11*'Key Business Variables'!$C$24/12</f>
        <v>43.199999999999996</v>
      </c>
      <c r="AA46" s="91">
        <f>'Key Business Variables'!$C$51*'Key Business Variables'!$C$52*'Key Business Variables'!$C$11*'Key Business Variables'!$C$24/12</f>
        <v>43.199999999999996</v>
      </c>
      <c r="AB46" s="91">
        <f>'Key Business Variables'!$C$51*'Key Business Variables'!$C$52*'Key Business Variables'!$C$11*'Key Business Variables'!$C$24/12</f>
        <v>43.199999999999996</v>
      </c>
      <c r="AC46" s="91">
        <f>'Key Business Variables'!$C$51*'Key Business Variables'!$C$52*'Key Business Variables'!$C$11*'Key Business Variables'!$C$24/12</f>
        <v>43.199999999999996</v>
      </c>
      <c r="AD46" s="91">
        <f>'Key Business Variables'!$C$51*'Key Business Variables'!$C$52*'Key Business Variables'!$C$11*'Key Business Variables'!$C$24/12</f>
        <v>43.199999999999996</v>
      </c>
      <c r="AE46" s="91">
        <f>'Key Business Variables'!$C$51*'Key Business Variables'!$C$52*'Key Business Variables'!$C$11*'Key Business Variables'!$C$24/12</f>
        <v>43.199999999999996</v>
      </c>
      <c r="AF46" s="91">
        <f>'Key Business Variables'!$C$51*'Key Business Variables'!$C$52*'Key Business Variables'!$C$11*'Key Business Variables'!$C$24/12</f>
        <v>43.199999999999996</v>
      </c>
      <c r="AG46" s="91">
        <f>'Key Business Variables'!$C$51*'Key Business Variables'!$C$52*'Key Business Variables'!$C$11*'Key Business Variables'!$C$24/12</f>
        <v>43.199999999999996</v>
      </c>
      <c r="AH46" s="91">
        <f>'Key Business Variables'!$C$51*'Key Business Variables'!$C$52*'Key Business Variables'!$C$11*'Key Business Variables'!$C$24/12</f>
        <v>43.199999999999996</v>
      </c>
      <c r="AI46" s="91">
        <f>'Key Business Variables'!$C$51*'Key Business Variables'!$C$52*'Key Business Variables'!$C$11*'Key Business Variables'!$C$24/12</f>
        <v>43.199999999999996</v>
      </c>
      <c r="AJ46" s="91">
        <f>'Key Business Variables'!$C$51*'Key Business Variables'!$C$52*'Key Business Variables'!$C$11*'Key Business Variables'!$C$24/12</f>
        <v>43.199999999999996</v>
      </c>
      <c r="AK46" s="91">
        <f>'Key Business Variables'!$C$51*'Key Business Variables'!$C$52*'Key Business Variables'!$C$11*'Key Business Variables'!$C$24/12</f>
        <v>43.199999999999996</v>
      </c>
      <c r="AL46" s="91">
        <f>'Key Business Variables'!$C$51*'Key Business Variables'!$C$52*'Key Business Variables'!$C$11*'Key Business Variables'!$C$24/12</f>
        <v>43.199999999999996</v>
      </c>
      <c r="AM46" s="91">
        <f>'Key Business Variables'!$C$51*'Key Business Variables'!$C$52*'Key Business Variables'!$C$11*'Key Business Variables'!$C$24/12</f>
        <v>43.199999999999996</v>
      </c>
      <c r="AN46" s="91">
        <f>'Key Business Variables'!$C$51*'Key Business Variables'!$C$52*'Key Business Variables'!$C$11*'Key Business Variables'!$C$24/12</f>
        <v>43.199999999999996</v>
      </c>
      <c r="AO46" s="91">
        <f>'Key Business Variables'!$C$51*'Key Business Variables'!$C$52*'Key Business Variables'!$C$11*'Key Business Variables'!$C$24/12</f>
        <v>43.199999999999996</v>
      </c>
      <c r="AP46" s="91">
        <f>'Key Business Variables'!$C$51*'Key Business Variables'!$C$52*'Key Business Variables'!$C$11*'Key Business Variables'!$C$24/12</f>
        <v>43.199999999999996</v>
      </c>
      <c r="AQ46" s="91">
        <f>'Key Business Variables'!$C$51*'Key Business Variables'!$C$52*'Key Business Variables'!$C$11*'Key Business Variables'!$C$24/12</f>
        <v>43.199999999999996</v>
      </c>
      <c r="AR46" s="91">
        <f>'Key Business Variables'!$C$51*'Key Business Variables'!$C$52*'Key Business Variables'!$C$11*'Key Business Variables'!$C$24/12</f>
        <v>43.199999999999996</v>
      </c>
      <c r="AS46" s="91">
        <f>'Key Business Variables'!$C$51*'Key Business Variables'!$C$52*'Key Business Variables'!$C$11*'Key Business Variables'!$C$24/12</f>
        <v>43.199999999999996</v>
      </c>
      <c r="AT46" s="91">
        <f>'Key Business Variables'!$C$51*'Key Business Variables'!$C$52*'Key Business Variables'!$C$11*'Key Business Variables'!$C$24/12</f>
        <v>43.199999999999996</v>
      </c>
      <c r="AU46" s="91">
        <f>'Key Business Variables'!$C$51*'Key Business Variables'!$C$52*'Key Business Variables'!$C$11*'Key Business Variables'!$C$24/12</f>
        <v>43.199999999999996</v>
      </c>
      <c r="AV46" s="91">
        <f>'Key Business Variables'!$C$51*'Key Business Variables'!$C$52*'Key Business Variables'!$C$11*'Key Business Variables'!$C$24/12</f>
        <v>43.199999999999996</v>
      </c>
      <c r="AW46" s="91">
        <f>'Key Business Variables'!$C$51*'Key Business Variables'!$C$52*'Key Business Variables'!$C$11*'Key Business Variables'!$C$24/12</f>
        <v>43.199999999999996</v>
      </c>
      <c r="AX46" s="91">
        <f>'Key Business Variables'!$C$51*'Key Business Variables'!$C$52*'Key Business Variables'!$C$11*'Key Business Variables'!$C$24/12</f>
        <v>43.199999999999996</v>
      </c>
    </row>
    <row r="47" spans="2:50" x14ac:dyDescent="0.6">
      <c r="B47" s="51" t="s">
        <v>161</v>
      </c>
      <c r="C47" s="91">
        <f>'Key Business Variables'!$C$11*'Key Business Variables'!$C$17*'Key Business Variables'!$C$46</f>
        <v>126</v>
      </c>
      <c r="D47" s="91">
        <f>'Key Business Variables'!$C$11*'Key Business Variables'!$C$17*'Key Business Variables'!$C$46</f>
        <v>126</v>
      </c>
      <c r="E47" s="91">
        <f>'Key Business Variables'!$C$11*'Key Business Variables'!$C$17*'Key Business Variables'!$C$46</f>
        <v>126</v>
      </c>
      <c r="F47" s="91">
        <f>'Key Business Variables'!$C$11*'Key Business Variables'!$C$17*'Key Business Variables'!$C$46</f>
        <v>126</v>
      </c>
      <c r="G47" s="91">
        <f>'Key Business Variables'!$C$11*'Key Business Variables'!$C$17*'Key Business Variables'!$C$46</f>
        <v>126</v>
      </c>
      <c r="H47" s="91">
        <f>'Key Business Variables'!$C$11*'Key Business Variables'!$C$17*'Key Business Variables'!$C$46</f>
        <v>126</v>
      </c>
      <c r="I47" s="91">
        <f>'Key Business Variables'!$C$11*'Key Business Variables'!$C$17*'Key Business Variables'!$C$46</f>
        <v>126</v>
      </c>
      <c r="J47" s="91">
        <f>'Key Business Variables'!$C$11*'Key Business Variables'!$C$17*'Key Business Variables'!$C$46</f>
        <v>126</v>
      </c>
      <c r="K47" s="91">
        <f>'Key Business Variables'!$C$11*'Key Business Variables'!$C$17*'Key Business Variables'!$C$46</f>
        <v>126</v>
      </c>
      <c r="L47" s="91">
        <f>'Key Business Variables'!$C$11*'Key Business Variables'!$C$17*'Key Business Variables'!$C$46</f>
        <v>126</v>
      </c>
      <c r="M47" s="91">
        <f>'Key Business Variables'!$C$11*'Key Business Variables'!$C$17*'Key Business Variables'!$C$46</f>
        <v>126</v>
      </c>
      <c r="N47" s="91">
        <f>'Key Business Variables'!$C$11*'Key Business Variables'!$C$17*'Key Business Variables'!$C$46</f>
        <v>126</v>
      </c>
      <c r="O47" s="91">
        <f>'Key Business Variables'!$C$11*'Key Business Variables'!$C$17*'Key Business Variables'!$C$46</f>
        <v>126</v>
      </c>
      <c r="P47" s="91">
        <f>'Key Business Variables'!$C$11*'Key Business Variables'!$C$17*'Key Business Variables'!$C$46</f>
        <v>126</v>
      </c>
      <c r="Q47" s="91">
        <f>'Key Business Variables'!$C$11*'Key Business Variables'!$C$17*'Key Business Variables'!$C$46</f>
        <v>126</v>
      </c>
      <c r="R47" s="91">
        <f>'Key Business Variables'!$C$11*'Key Business Variables'!$C$17*'Key Business Variables'!$C$46</f>
        <v>126</v>
      </c>
      <c r="S47" s="91">
        <f>'Key Business Variables'!$C$11*'Key Business Variables'!$C$17*'Key Business Variables'!$C$46</f>
        <v>126</v>
      </c>
      <c r="T47" s="91">
        <f>'Key Business Variables'!$C$11*'Key Business Variables'!$C$17*'Key Business Variables'!$C$46</f>
        <v>126</v>
      </c>
      <c r="U47" s="91">
        <f>'Key Business Variables'!$C$11*'Key Business Variables'!$C$17*'Key Business Variables'!$C$46</f>
        <v>126</v>
      </c>
      <c r="V47" s="91">
        <f>'Key Business Variables'!$C$11*'Key Business Variables'!$C$17*'Key Business Variables'!$C$46</f>
        <v>126</v>
      </c>
      <c r="W47" s="91">
        <f>'Key Business Variables'!$C$11*'Key Business Variables'!$C$17*'Key Business Variables'!$C$46</f>
        <v>126</v>
      </c>
      <c r="X47" s="91">
        <f>'Key Business Variables'!$C$11*'Key Business Variables'!$C$17*'Key Business Variables'!$C$46</f>
        <v>126</v>
      </c>
      <c r="Y47" s="91">
        <f>'Key Business Variables'!$C$11*'Key Business Variables'!$C$17*'Key Business Variables'!$C$46</f>
        <v>126</v>
      </c>
      <c r="Z47" s="91">
        <f>'Key Business Variables'!$C$11*'Key Business Variables'!$C$17*'Key Business Variables'!$C$46</f>
        <v>126</v>
      </c>
      <c r="AA47" s="91">
        <f>'Key Business Variables'!$C$11*'Key Business Variables'!$C$17*'Key Business Variables'!$C$46</f>
        <v>126</v>
      </c>
      <c r="AB47" s="91">
        <f>'Key Business Variables'!$C$11*'Key Business Variables'!$C$17*'Key Business Variables'!$C$46</f>
        <v>126</v>
      </c>
      <c r="AC47" s="91">
        <f>'Key Business Variables'!$C$11*'Key Business Variables'!$C$17*'Key Business Variables'!$C$46</f>
        <v>126</v>
      </c>
      <c r="AD47" s="91">
        <f>'Key Business Variables'!$C$11*'Key Business Variables'!$C$17*'Key Business Variables'!$C$46</f>
        <v>126</v>
      </c>
      <c r="AE47" s="91">
        <f>'Key Business Variables'!$C$11*'Key Business Variables'!$C$17*'Key Business Variables'!$C$46</f>
        <v>126</v>
      </c>
      <c r="AF47" s="91">
        <f>'Key Business Variables'!$C$11*'Key Business Variables'!$C$17*'Key Business Variables'!$C$46</f>
        <v>126</v>
      </c>
      <c r="AG47" s="91">
        <f>'Key Business Variables'!$C$11*'Key Business Variables'!$C$17*'Key Business Variables'!$C$46</f>
        <v>126</v>
      </c>
      <c r="AH47" s="91">
        <f>'Key Business Variables'!$C$11*'Key Business Variables'!$C$17*'Key Business Variables'!$C$46</f>
        <v>126</v>
      </c>
      <c r="AI47" s="91">
        <f>'Key Business Variables'!$C$11*'Key Business Variables'!$C$17*'Key Business Variables'!$C$46</f>
        <v>126</v>
      </c>
      <c r="AJ47" s="91">
        <f>'Key Business Variables'!$C$11*'Key Business Variables'!$C$17*'Key Business Variables'!$C$46</f>
        <v>126</v>
      </c>
      <c r="AK47" s="91">
        <f>'Key Business Variables'!$C$11*'Key Business Variables'!$C$17*'Key Business Variables'!$C$46</f>
        <v>126</v>
      </c>
      <c r="AL47" s="91">
        <f>'Key Business Variables'!$C$11*'Key Business Variables'!$C$17*'Key Business Variables'!$C$46</f>
        <v>126</v>
      </c>
      <c r="AM47" s="91">
        <f>'Key Business Variables'!$C$11*'Key Business Variables'!$C$17*'Key Business Variables'!$C$46</f>
        <v>126</v>
      </c>
      <c r="AN47" s="91">
        <f>'Key Business Variables'!$C$11*'Key Business Variables'!$C$17*'Key Business Variables'!$C$46</f>
        <v>126</v>
      </c>
      <c r="AO47" s="91">
        <f>'Key Business Variables'!$C$11*'Key Business Variables'!$C$17*'Key Business Variables'!$C$46</f>
        <v>126</v>
      </c>
      <c r="AP47" s="91">
        <f>'Key Business Variables'!$C$11*'Key Business Variables'!$C$17*'Key Business Variables'!$C$46</f>
        <v>126</v>
      </c>
      <c r="AQ47" s="91">
        <f>'Key Business Variables'!$C$11*'Key Business Variables'!$C$17*'Key Business Variables'!$C$46</f>
        <v>126</v>
      </c>
      <c r="AR47" s="91">
        <f>'Key Business Variables'!$C$11*'Key Business Variables'!$C$17*'Key Business Variables'!$C$46</f>
        <v>126</v>
      </c>
      <c r="AS47" s="91">
        <f>'Key Business Variables'!$C$11*'Key Business Variables'!$C$17*'Key Business Variables'!$C$46</f>
        <v>126</v>
      </c>
      <c r="AT47" s="91">
        <f>'Key Business Variables'!$C$11*'Key Business Variables'!$C$17*'Key Business Variables'!$C$46</f>
        <v>126</v>
      </c>
      <c r="AU47" s="91">
        <f>'Key Business Variables'!$C$11*'Key Business Variables'!$C$17*'Key Business Variables'!$C$46</f>
        <v>126</v>
      </c>
      <c r="AV47" s="91">
        <f>'Key Business Variables'!$C$11*'Key Business Variables'!$C$17*'Key Business Variables'!$C$46</f>
        <v>126</v>
      </c>
      <c r="AW47" s="91">
        <f>'Key Business Variables'!$C$11*'Key Business Variables'!$C$17*'Key Business Variables'!$C$46</f>
        <v>126</v>
      </c>
      <c r="AX47" s="91">
        <f>'Key Business Variables'!$C$11*'Key Business Variables'!$C$17*'Key Business Variables'!$C$46</f>
        <v>126</v>
      </c>
    </row>
    <row r="48" spans="2:50" x14ac:dyDescent="0.6">
      <c r="B48" s="51" t="s">
        <v>162</v>
      </c>
      <c r="C48" s="109">
        <f>'Key Business Variables'!$C$12*'Key Business Variables'!$C$18*'Key Business Variables'!$C$47</f>
        <v>6</v>
      </c>
      <c r="D48" s="109">
        <f>'Key Business Variables'!$C$12*'Key Business Variables'!$C$18*'Key Business Variables'!$C$47</f>
        <v>6</v>
      </c>
      <c r="E48" s="109">
        <f>'Key Business Variables'!$C$12*'Key Business Variables'!$C$18*'Key Business Variables'!$C$47</f>
        <v>6</v>
      </c>
      <c r="F48" s="109">
        <f>'Key Business Variables'!$C$12*'Key Business Variables'!$C$18*'Key Business Variables'!$C$47</f>
        <v>6</v>
      </c>
      <c r="G48" s="109">
        <f>'Key Business Variables'!$C$12*'Key Business Variables'!$C$18*'Key Business Variables'!$C$47</f>
        <v>6</v>
      </c>
      <c r="H48" s="109">
        <f>'Key Business Variables'!$C$12*'Key Business Variables'!$C$18*'Key Business Variables'!$C$47</f>
        <v>6</v>
      </c>
      <c r="I48" s="109">
        <f>'Key Business Variables'!$C$12*'Key Business Variables'!$C$18*'Key Business Variables'!$C$47</f>
        <v>6</v>
      </c>
      <c r="J48" s="109">
        <f>'Key Business Variables'!$C$12*'Key Business Variables'!$C$18*'Key Business Variables'!$C$47</f>
        <v>6</v>
      </c>
      <c r="K48" s="109">
        <f>'Key Business Variables'!$C$12*'Key Business Variables'!$C$18*'Key Business Variables'!$C$47</f>
        <v>6</v>
      </c>
      <c r="L48" s="109">
        <f>'Key Business Variables'!$C$12*'Key Business Variables'!$C$18*'Key Business Variables'!$C$47</f>
        <v>6</v>
      </c>
      <c r="M48" s="109">
        <f>'Key Business Variables'!$C$12*'Key Business Variables'!$C$18*'Key Business Variables'!$C$47</f>
        <v>6</v>
      </c>
      <c r="N48" s="109">
        <f>'Key Business Variables'!$C$12*'Key Business Variables'!$C$18*'Key Business Variables'!$C$47</f>
        <v>6</v>
      </c>
      <c r="O48" s="109">
        <f>'Key Business Variables'!$C$12*'Key Business Variables'!$C$18*'Key Business Variables'!$C$47</f>
        <v>6</v>
      </c>
      <c r="P48" s="109">
        <f>'Key Business Variables'!$C$12*'Key Business Variables'!$C$18*'Key Business Variables'!$C$47</f>
        <v>6</v>
      </c>
      <c r="Q48" s="109">
        <f>'Key Business Variables'!$C$12*'Key Business Variables'!$C$18*'Key Business Variables'!$C$47</f>
        <v>6</v>
      </c>
      <c r="R48" s="109">
        <f>'Key Business Variables'!$C$12*'Key Business Variables'!$C$18*'Key Business Variables'!$C$47</f>
        <v>6</v>
      </c>
      <c r="S48" s="109">
        <f>'Key Business Variables'!$C$12*'Key Business Variables'!$C$18*'Key Business Variables'!$C$47</f>
        <v>6</v>
      </c>
      <c r="T48" s="109">
        <f>'Key Business Variables'!$C$12*'Key Business Variables'!$C$18*'Key Business Variables'!$C$47</f>
        <v>6</v>
      </c>
      <c r="U48" s="109">
        <f>'Key Business Variables'!$C$12*'Key Business Variables'!$C$18*'Key Business Variables'!$C$47</f>
        <v>6</v>
      </c>
      <c r="V48" s="109">
        <f>'Key Business Variables'!$C$12*'Key Business Variables'!$C$18*'Key Business Variables'!$C$47</f>
        <v>6</v>
      </c>
      <c r="W48" s="109">
        <f>'Key Business Variables'!$C$12*'Key Business Variables'!$C$18*'Key Business Variables'!$C$47</f>
        <v>6</v>
      </c>
      <c r="X48" s="109">
        <f>'Key Business Variables'!$C$12*'Key Business Variables'!$C$18*'Key Business Variables'!$C$47</f>
        <v>6</v>
      </c>
      <c r="Y48" s="109">
        <f>'Key Business Variables'!$C$12*'Key Business Variables'!$C$18*'Key Business Variables'!$C$47</f>
        <v>6</v>
      </c>
      <c r="Z48" s="109">
        <f>'Key Business Variables'!$C$12*'Key Business Variables'!$C$18*'Key Business Variables'!$C$47</f>
        <v>6</v>
      </c>
      <c r="AA48" s="109">
        <f>'Key Business Variables'!$C$12*'Key Business Variables'!$C$18*'Key Business Variables'!$C$47</f>
        <v>6</v>
      </c>
      <c r="AB48" s="109">
        <f>'Key Business Variables'!$C$12*'Key Business Variables'!$C$18*'Key Business Variables'!$C$47</f>
        <v>6</v>
      </c>
      <c r="AC48" s="109">
        <f>'Key Business Variables'!$C$12*'Key Business Variables'!$C$18*'Key Business Variables'!$C$47</f>
        <v>6</v>
      </c>
      <c r="AD48" s="109">
        <f>'Key Business Variables'!$C$12*'Key Business Variables'!$C$18*'Key Business Variables'!$C$47</f>
        <v>6</v>
      </c>
      <c r="AE48" s="109">
        <f>'Key Business Variables'!$C$12*'Key Business Variables'!$C$18*'Key Business Variables'!$C$47</f>
        <v>6</v>
      </c>
      <c r="AF48" s="109">
        <f>'Key Business Variables'!$C$12*'Key Business Variables'!$C$18*'Key Business Variables'!$C$47</f>
        <v>6</v>
      </c>
      <c r="AG48" s="109">
        <f>'Key Business Variables'!$C$12*'Key Business Variables'!$C$18*'Key Business Variables'!$C$47</f>
        <v>6</v>
      </c>
      <c r="AH48" s="109">
        <f>'Key Business Variables'!$C$12*'Key Business Variables'!$C$18*'Key Business Variables'!$C$47</f>
        <v>6</v>
      </c>
      <c r="AI48" s="109">
        <f>'Key Business Variables'!$C$12*'Key Business Variables'!$C$18*'Key Business Variables'!$C$47</f>
        <v>6</v>
      </c>
      <c r="AJ48" s="109">
        <f>'Key Business Variables'!$C$12*'Key Business Variables'!$C$18*'Key Business Variables'!$C$47</f>
        <v>6</v>
      </c>
      <c r="AK48" s="109">
        <f>'Key Business Variables'!$C$12*'Key Business Variables'!$C$18*'Key Business Variables'!$C$47</f>
        <v>6</v>
      </c>
      <c r="AL48" s="109">
        <f>'Key Business Variables'!$C$12*'Key Business Variables'!$C$18*'Key Business Variables'!$C$47</f>
        <v>6</v>
      </c>
      <c r="AM48" s="109">
        <f>'Key Business Variables'!$C$12*'Key Business Variables'!$C$18*'Key Business Variables'!$C$47</f>
        <v>6</v>
      </c>
      <c r="AN48" s="109">
        <f>'Key Business Variables'!$C$12*'Key Business Variables'!$C$18*'Key Business Variables'!$C$47</f>
        <v>6</v>
      </c>
      <c r="AO48" s="109">
        <f>'Key Business Variables'!$C$12*'Key Business Variables'!$C$18*'Key Business Variables'!$C$47</f>
        <v>6</v>
      </c>
      <c r="AP48" s="109">
        <f>'Key Business Variables'!$C$12*'Key Business Variables'!$C$18*'Key Business Variables'!$C$47</f>
        <v>6</v>
      </c>
      <c r="AQ48" s="109">
        <f>'Key Business Variables'!$C$12*'Key Business Variables'!$C$18*'Key Business Variables'!$C$47</f>
        <v>6</v>
      </c>
      <c r="AR48" s="109">
        <f>'Key Business Variables'!$C$12*'Key Business Variables'!$C$18*'Key Business Variables'!$C$47</f>
        <v>6</v>
      </c>
      <c r="AS48" s="109">
        <f>'Key Business Variables'!$C$12*'Key Business Variables'!$C$18*'Key Business Variables'!$C$47</f>
        <v>6</v>
      </c>
      <c r="AT48" s="109">
        <f>'Key Business Variables'!$C$12*'Key Business Variables'!$C$18*'Key Business Variables'!$C$47</f>
        <v>6</v>
      </c>
      <c r="AU48" s="109">
        <f>'Key Business Variables'!$C$12*'Key Business Variables'!$C$18*'Key Business Variables'!$C$47</f>
        <v>6</v>
      </c>
      <c r="AV48" s="109">
        <f>'Key Business Variables'!$C$12*'Key Business Variables'!$C$18*'Key Business Variables'!$C$47</f>
        <v>6</v>
      </c>
      <c r="AW48" s="109">
        <f>'Key Business Variables'!$C$12*'Key Business Variables'!$C$18*'Key Business Variables'!$C$47</f>
        <v>6</v>
      </c>
      <c r="AX48" s="109">
        <f>'Key Business Variables'!$C$12*'Key Business Variables'!$C$18*'Key Business Variables'!$C$47</f>
        <v>6</v>
      </c>
    </row>
    <row r="49" spans="2:51" x14ac:dyDescent="0.6">
      <c r="B49" s="51" t="s">
        <v>95</v>
      </c>
      <c r="C49" s="109">
        <f>'Key Business Variables'!$C$11*'Key Business Variables'!$C$17*'Key Business Variables'!$C$48</f>
        <v>33.6</v>
      </c>
      <c r="D49" s="109">
        <f>'Key Business Variables'!$C$11*'Key Business Variables'!$C$17*'Key Business Variables'!$C$48</f>
        <v>33.6</v>
      </c>
      <c r="E49" s="109">
        <f>'Key Business Variables'!$C$11*'Key Business Variables'!$C$17*'Key Business Variables'!$C$48</f>
        <v>33.6</v>
      </c>
      <c r="F49" s="109">
        <f>'Key Business Variables'!$C$11*'Key Business Variables'!$C$17*'Key Business Variables'!$C$48</f>
        <v>33.6</v>
      </c>
      <c r="G49" s="109">
        <f>'Key Business Variables'!$C$11*'Key Business Variables'!$C$17*'Key Business Variables'!$C$48</f>
        <v>33.6</v>
      </c>
      <c r="H49" s="109">
        <f>'Key Business Variables'!$C$11*'Key Business Variables'!$C$17*'Key Business Variables'!$C$48</f>
        <v>33.6</v>
      </c>
      <c r="I49" s="109">
        <f>'Key Business Variables'!$C$11*'Key Business Variables'!$C$17*'Key Business Variables'!$C$48</f>
        <v>33.6</v>
      </c>
      <c r="J49" s="109">
        <f>'Key Business Variables'!$C$11*'Key Business Variables'!$C$17*'Key Business Variables'!$C$48</f>
        <v>33.6</v>
      </c>
      <c r="K49" s="109">
        <f>'Key Business Variables'!$C$11*'Key Business Variables'!$C$17*'Key Business Variables'!$C$48</f>
        <v>33.6</v>
      </c>
      <c r="L49" s="109">
        <f>'Key Business Variables'!$C$11*'Key Business Variables'!$C$17*'Key Business Variables'!$C$48</f>
        <v>33.6</v>
      </c>
      <c r="M49" s="109">
        <f>'Key Business Variables'!$C$11*'Key Business Variables'!$C$17*'Key Business Variables'!$C$48</f>
        <v>33.6</v>
      </c>
      <c r="N49" s="109">
        <f>'Key Business Variables'!$C$11*'Key Business Variables'!$C$17*'Key Business Variables'!$C$48</f>
        <v>33.6</v>
      </c>
      <c r="O49" s="109">
        <f>'Key Business Variables'!$C$11*'Key Business Variables'!$C$17*'Key Business Variables'!$C$48</f>
        <v>33.6</v>
      </c>
      <c r="P49" s="109">
        <f>'Key Business Variables'!$C$11*'Key Business Variables'!$C$17*'Key Business Variables'!$C$48</f>
        <v>33.6</v>
      </c>
      <c r="Q49" s="109">
        <f>'Key Business Variables'!$C$11*'Key Business Variables'!$C$17*'Key Business Variables'!$C$48</f>
        <v>33.6</v>
      </c>
      <c r="R49" s="109">
        <f>'Key Business Variables'!$C$11*'Key Business Variables'!$C$17*'Key Business Variables'!$C$48</f>
        <v>33.6</v>
      </c>
      <c r="S49" s="109">
        <f>'Key Business Variables'!$C$11*'Key Business Variables'!$C$17*'Key Business Variables'!$C$48</f>
        <v>33.6</v>
      </c>
      <c r="T49" s="109">
        <f>'Key Business Variables'!$C$11*'Key Business Variables'!$C$17*'Key Business Variables'!$C$48</f>
        <v>33.6</v>
      </c>
      <c r="U49" s="109">
        <f>'Key Business Variables'!$C$11*'Key Business Variables'!$C$17*'Key Business Variables'!$C$48</f>
        <v>33.6</v>
      </c>
      <c r="V49" s="109">
        <f>'Key Business Variables'!$C$11*'Key Business Variables'!$C$17*'Key Business Variables'!$C$48</f>
        <v>33.6</v>
      </c>
      <c r="W49" s="109">
        <f>'Key Business Variables'!$C$11*'Key Business Variables'!$C$17*'Key Business Variables'!$C$48</f>
        <v>33.6</v>
      </c>
      <c r="X49" s="109">
        <f>'Key Business Variables'!$C$11*'Key Business Variables'!$C$17*'Key Business Variables'!$C$48</f>
        <v>33.6</v>
      </c>
      <c r="Y49" s="109">
        <f>'Key Business Variables'!$C$11*'Key Business Variables'!$C$17*'Key Business Variables'!$C$48</f>
        <v>33.6</v>
      </c>
      <c r="Z49" s="109">
        <f>'Key Business Variables'!$C$11*'Key Business Variables'!$C$17*'Key Business Variables'!$C$48</f>
        <v>33.6</v>
      </c>
      <c r="AA49" s="109">
        <f>'Key Business Variables'!$C$11*'Key Business Variables'!$C$17*'Key Business Variables'!$C$48</f>
        <v>33.6</v>
      </c>
      <c r="AB49" s="109">
        <f>'Key Business Variables'!$C$11*'Key Business Variables'!$C$17*'Key Business Variables'!$C$48</f>
        <v>33.6</v>
      </c>
      <c r="AC49" s="109">
        <f>'Key Business Variables'!$C$11*'Key Business Variables'!$C$17*'Key Business Variables'!$C$48</f>
        <v>33.6</v>
      </c>
      <c r="AD49" s="109">
        <f>'Key Business Variables'!$C$11*'Key Business Variables'!$C$17*'Key Business Variables'!$C$48</f>
        <v>33.6</v>
      </c>
      <c r="AE49" s="109">
        <f>'Key Business Variables'!$C$11*'Key Business Variables'!$C$17*'Key Business Variables'!$C$48</f>
        <v>33.6</v>
      </c>
      <c r="AF49" s="109">
        <f>'Key Business Variables'!$C$11*'Key Business Variables'!$C$17*'Key Business Variables'!$C$48</f>
        <v>33.6</v>
      </c>
      <c r="AG49" s="109">
        <f>'Key Business Variables'!$C$11*'Key Business Variables'!$C$17*'Key Business Variables'!$C$48</f>
        <v>33.6</v>
      </c>
      <c r="AH49" s="109">
        <f>'Key Business Variables'!$C$11*'Key Business Variables'!$C$17*'Key Business Variables'!$C$48</f>
        <v>33.6</v>
      </c>
      <c r="AI49" s="109">
        <f>'Key Business Variables'!$C$11*'Key Business Variables'!$C$17*'Key Business Variables'!$C$48</f>
        <v>33.6</v>
      </c>
      <c r="AJ49" s="109">
        <f>'Key Business Variables'!$C$11*'Key Business Variables'!$C$17*'Key Business Variables'!$C$48</f>
        <v>33.6</v>
      </c>
      <c r="AK49" s="109">
        <f>'Key Business Variables'!$C$11*'Key Business Variables'!$C$17*'Key Business Variables'!$C$48</f>
        <v>33.6</v>
      </c>
      <c r="AL49" s="109">
        <f>'Key Business Variables'!$C$11*'Key Business Variables'!$C$17*'Key Business Variables'!$C$48</f>
        <v>33.6</v>
      </c>
      <c r="AM49" s="109">
        <f>'Key Business Variables'!$C$11*'Key Business Variables'!$C$17*'Key Business Variables'!$C$48</f>
        <v>33.6</v>
      </c>
      <c r="AN49" s="109">
        <f>'Key Business Variables'!$C$11*'Key Business Variables'!$C$17*'Key Business Variables'!$C$48</f>
        <v>33.6</v>
      </c>
      <c r="AO49" s="109">
        <f>'Key Business Variables'!$C$11*'Key Business Variables'!$C$17*'Key Business Variables'!$C$48</f>
        <v>33.6</v>
      </c>
      <c r="AP49" s="109">
        <f>'Key Business Variables'!$C$11*'Key Business Variables'!$C$17*'Key Business Variables'!$C$48</f>
        <v>33.6</v>
      </c>
      <c r="AQ49" s="109">
        <f>'Key Business Variables'!$C$11*'Key Business Variables'!$C$17*'Key Business Variables'!$C$48</f>
        <v>33.6</v>
      </c>
      <c r="AR49" s="109">
        <f>'Key Business Variables'!$C$11*'Key Business Variables'!$C$17*'Key Business Variables'!$C$48</f>
        <v>33.6</v>
      </c>
      <c r="AS49" s="109">
        <f>'Key Business Variables'!$C$11*'Key Business Variables'!$C$17*'Key Business Variables'!$C$48</f>
        <v>33.6</v>
      </c>
      <c r="AT49" s="109">
        <f>'Key Business Variables'!$C$11*'Key Business Variables'!$C$17*'Key Business Variables'!$C$48</f>
        <v>33.6</v>
      </c>
      <c r="AU49" s="109">
        <f>'Key Business Variables'!$C$11*'Key Business Variables'!$C$17*'Key Business Variables'!$C$48</f>
        <v>33.6</v>
      </c>
      <c r="AV49" s="109">
        <f>'Key Business Variables'!$C$11*'Key Business Variables'!$C$17*'Key Business Variables'!$C$48</f>
        <v>33.6</v>
      </c>
      <c r="AW49" s="109">
        <f>'Key Business Variables'!$C$11*'Key Business Variables'!$C$17*'Key Business Variables'!$C$48</f>
        <v>33.6</v>
      </c>
      <c r="AX49" s="109">
        <f>'Key Business Variables'!$C$11*'Key Business Variables'!$C$17*'Key Business Variables'!$C$48</f>
        <v>33.6</v>
      </c>
    </row>
    <row r="50" spans="2:51" x14ac:dyDescent="0.6">
      <c r="B50" s="51" t="s">
        <v>22</v>
      </c>
      <c r="C50" s="109">
        <f>('Key Business Variables'!$C$11+'Key Business Variables'!$C$12)*'Key Business Variables'!$C$19*'Key Business Variables'!$C$42/100*'Core Calculations'!$M$64</f>
        <v>0</v>
      </c>
      <c r="D50" s="109">
        <f>('Key Business Variables'!$C$11+'Key Business Variables'!$C$12)*'Key Business Variables'!$C$19*'Key Business Variables'!$C$42/100*'Core Calculations'!$M$64</f>
        <v>0</v>
      </c>
      <c r="E50" s="109">
        <f>('Key Business Variables'!$C$11+'Key Business Variables'!$C$12)*'Key Business Variables'!$C$19*'Key Business Variables'!$C$42/100*'Core Calculations'!$M$64</f>
        <v>0</v>
      </c>
      <c r="F50" s="109">
        <f>('Key Business Variables'!$C$11+'Key Business Variables'!$C$12)*'Key Business Variables'!$C$19*'Key Business Variables'!$C$42/100*'Core Calculations'!$M$64</f>
        <v>0</v>
      </c>
      <c r="G50" s="109">
        <f>('Key Business Variables'!$C$11+'Key Business Variables'!$C$12)*'Key Business Variables'!$C$19*'Key Business Variables'!$C$42/100*'Core Calculations'!$M$64</f>
        <v>0</v>
      </c>
      <c r="H50" s="109">
        <f>('Key Business Variables'!$C$11+'Key Business Variables'!$C$12)*'Key Business Variables'!$C$19*'Key Business Variables'!$C$42/100*'Core Calculations'!$M$64</f>
        <v>0</v>
      </c>
      <c r="I50" s="109">
        <f>('Key Business Variables'!$C$11+'Key Business Variables'!$C$12)*'Key Business Variables'!$C$19*'Key Business Variables'!$C$42/100*'Core Calculations'!$M$64</f>
        <v>0</v>
      </c>
      <c r="J50" s="109">
        <f>('Key Business Variables'!$C$11+'Key Business Variables'!$C$12)*'Key Business Variables'!$C$19*'Key Business Variables'!$C$42/100*'Core Calculations'!$M$64</f>
        <v>0</v>
      </c>
      <c r="K50" s="109">
        <f>('Key Business Variables'!$C$11+'Key Business Variables'!$C$12)*'Key Business Variables'!$C$19*'Key Business Variables'!$C$42/100*'Core Calculations'!$M$64</f>
        <v>0</v>
      </c>
      <c r="L50" s="109">
        <f>('Key Business Variables'!$C$11+'Key Business Variables'!$C$12)*'Key Business Variables'!$C$19*'Key Business Variables'!$C$42/100*'Core Calculations'!$M$64</f>
        <v>0</v>
      </c>
      <c r="M50" s="109">
        <f>('Key Business Variables'!$C$11+'Key Business Variables'!$C$12)*'Key Business Variables'!$C$19*'Key Business Variables'!$C$42/100*'Core Calculations'!$M$64</f>
        <v>0</v>
      </c>
      <c r="N50" s="109">
        <f>('Key Business Variables'!$C$11+'Key Business Variables'!$C$12)*'Key Business Variables'!$C$19*'Key Business Variables'!$C$42/100*'Core Calculations'!$M$64</f>
        <v>0</v>
      </c>
      <c r="O50" s="109">
        <f>('Key Business Variables'!$C$11+'Key Business Variables'!$C$12)*'Key Business Variables'!$C$19*'Key Business Variables'!$C$42/100*'Core Calculations'!$M$64</f>
        <v>0</v>
      </c>
      <c r="P50" s="109">
        <f>('Key Business Variables'!$C$11+'Key Business Variables'!$C$12)*'Key Business Variables'!$C$19*'Key Business Variables'!$C$42/100*'Core Calculations'!$M$64</f>
        <v>0</v>
      </c>
      <c r="Q50" s="109">
        <f>('Key Business Variables'!$C$11+'Key Business Variables'!$C$12)*'Key Business Variables'!$C$19*'Key Business Variables'!$C$42/100*'Core Calculations'!$M$64</f>
        <v>0</v>
      </c>
      <c r="R50" s="109">
        <f>('Key Business Variables'!$C$11+'Key Business Variables'!$C$12)*'Key Business Variables'!$C$19*'Key Business Variables'!$C$42/100*'Core Calculations'!$M$64</f>
        <v>0</v>
      </c>
      <c r="S50" s="109">
        <f>('Key Business Variables'!$C$11+'Key Business Variables'!$C$12)*'Key Business Variables'!$C$19*'Key Business Variables'!$C$42/100*'Core Calculations'!$M$64</f>
        <v>0</v>
      </c>
      <c r="T50" s="109">
        <f>('Key Business Variables'!$C$11+'Key Business Variables'!$C$12)*'Key Business Variables'!$C$19*'Key Business Variables'!$C$42/100*'Core Calculations'!$M$64</f>
        <v>0</v>
      </c>
      <c r="U50" s="109">
        <f>('Key Business Variables'!$C$11+'Key Business Variables'!$C$12)*'Key Business Variables'!$C$19*'Key Business Variables'!$C$42/100*'Core Calculations'!$M$64</f>
        <v>0</v>
      </c>
      <c r="V50" s="109">
        <f>('Key Business Variables'!$C$11+'Key Business Variables'!$C$12)*'Key Business Variables'!$C$19*'Key Business Variables'!$C$42/100*'Core Calculations'!$M$64</f>
        <v>0</v>
      </c>
      <c r="W50" s="109">
        <f>('Key Business Variables'!$C$11+'Key Business Variables'!$C$12)*'Key Business Variables'!$C$19*'Key Business Variables'!$C$42/100*'Core Calculations'!$M$64</f>
        <v>0</v>
      </c>
      <c r="X50" s="109">
        <f>('Key Business Variables'!$C$11+'Key Business Variables'!$C$12)*'Key Business Variables'!$C$19*'Key Business Variables'!$C$42/100*'Core Calculations'!$M$64</f>
        <v>0</v>
      </c>
      <c r="Y50" s="109">
        <f>('Key Business Variables'!$C$11+'Key Business Variables'!$C$12)*'Key Business Variables'!$C$19*'Key Business Variables'!$C$42/100*'Core Calculations'!$M$64</f>
        <v>0</v>
      </c>
      <c r="Z50" s="109">
        <f>('Key Business Variables'!$C$11+'Key Business Variables'!$C$12)*'Key Business Variables'!$C$19*'Key Business Variables'!$C$42/100*'Core Calculations'!$M$64</f>
        <v>0</v>
      </c>
      <c r="AA50" s="109">
        <f>('Key Business Variables'!$C$11+'Key Business Variables'!$C$12)*'Key Business Variables'!$C$19*'Key Business Variables'!$C$42/100*'Core Calculations'!$M$64</f>
        <v>0</v>
      </c>
      <c r="AB50" s="109">
        <f>('Key Business Variables'!$C$11+'Key Business Variables'!$C$12)*'Key Business Variables'!$C$19*'Key Business Variables'!$C$42/100*'Core Calculations'!$M$64</f>
        <v>0</v>
      </c>
      <c r="AC50" s="109">
        <f>('Key Business Variables'!$C$11+'Key Business Variables'!$C$12)*'Key Business Variables'!$C$19*'Key Business Variables'!$C$42/100*'Core Calculations'!$M$64</f>
        <v>0</v>
      </c>
      <c r="AD50" s="109">
        <f>('Key Business Variables'!$C$11+'Key Business Variables'!$C$12)*'Key Business Variables'!$C$19*'Key Business Variables'!$C$42/100*'Core Calculations'!$M$64</f>
        <v>0</v>
      </c>
      <c r="AE50" s="109">
        <f>('Key Business Variables'!$C$11+'Key Business Variables'!$C$12)*'Key Business Variables'!$C$19*'Key Business Variables'!$C$42/100*'Core Calculations'!$M$64</f>
        <v>0</v>
      </c>
      <c r="AF50" s="109">
        <f>('Key Business Variables'!$C$11+'Key Business Variables'!$C$12)*'Key Business Variables'!$C$19*'Key Business Variables'!$C$42/100*'Core Calculations'!$M$64</f>
        <v>0</v>
      </c>
      <c r="AG50" s="109">
        <f>('Key Business Variables'!$C$11+'Key Business Variables'!$C$12)*'Key Business Variables'!$C$19*'Key Business Variables'!$C$42/100*'Core Calculations'!$M$64</f>
        <v>0</v>
      </c>
      <c r="AH50" s="109">
        <f>('Key Business Variables'!$C$11+'Key Business Variables'!$C$12)*'Key Business Variables'!$C$19*'Key Business Variables'!$C$42/100*'Core Calculations'!$M$64</f>
        <v>0</v>
      </c>
      <c r="AI50" s="109">
        <f>('Key Business Variables'!$C$11+'Key Business Variables'!$C$12)*'Key Business Variables'!$C$19*'Key Business Variables'!$C$42/100*'Core Calculations'!$M$64</f>
        <v>0</v>
      </c>
      <c r="AJ50" s="109">
        <f>('Key Business Variables'!$C$11+'Key Business Variables'!$C$12)*'Key Business Variables'!$C$19*'Key Business Variables'!$C$42/100*'Core Calculations'!$M$64</f>
        <v>0</v>
      </c>
      <c r="AK50" s="109">
        <f>('Key Business Variables'!$C$11+'Key Business Variables'!$C$12)*'Key Business Variables'!$C$19*'Key Business Variables'!$C$42/100*'Core Calculations'!$M$64</f>
        <v>0</v>
      </c>
      <c r="AL50" s="109">
        <f>('Key Business Variables'!$C$11+'Key Business Variables'!$C$12)*'Key Business Variables'!$C$19*'Key Business Variables'!$C$42/100*'Core Calculations'!$M$64</f>
        <v>0</v>
      </c>
      <c r="AM50" s="109">
        <f>('Key Business Variables'!$C$11+'Key Business Variables'!$C$12)*'Key Business Variables'!$C$19*'Key Business Variables'!$C$42/100*'Core Calculations'!$M$64</f>
        <v>0</v>
      </c>
      <c r="AN50" s="109">
        <f>('Key Business Variables'!$C$11+'Key Business Variables'!$C$12)*'Key Business Variables'!$C$19*'Key Business Variables'!$C$42/100*'Core Calculations'!$M$64</f>
        <v>0</v>
      </c>
      <c r="AO50" s="109">
        <f>('Key Business Variables'!$C$11+'Key Business Variables'!$C$12)*'Key Business Variables'!$C$19*'Key Business Variables'!$C$42/100*'Core Calculations'!$M$64</f>
        <v>0</v>
      </c>
      <c r="AP50" s="109">
        <f>('Key Business Variables'!$C$11+'Key Business Variables'!$C$12)*'Key Business Variables'!$C$19*'Key Business Variables'!$C$42/100*'Core Calculations'!$M$64</f>
        <v>0</v>
      </c>
      <c r="AQ50" s="109">
        <f>('Key Business Variables'!$C$11+'Key Business Variables'!$C$12)*'Key Business Variables'!$C$19*'Key Business Variables'!$C$42/100*'Core Calculations'!$M$64</f>
        <v>0</v>
      </c>
      <c r="AR50" s="109">
        <f>('Key Business Variables'!$C$11+'Key Business Variables'!$C$12)*'Key Business Variables'!$C$19*'Key Business Variables'!$C$42/100*'Core Calculations'!$M$64</f>
        <v>0</v>
      </c>
      <c r="AS50" s="109">
        <f>('Key Business Variables'!$C$11+'Key Business Variables'!$C$12)*'Key Business Variables'!$C$19*'Key Business Variables'!$C$42/100*'Core Calculations'!$M$64</f>
        <v>0</v>
      </c>
      <c r="AT50" s="109">
        <f>('Key Business Variables'!$C$11+'Key Business Variables'!$C$12)*'Key Business Variables'!$C$19*'Key Business Variables'!$C$42/100*'Core Calculations'!$M$64</f>
        <v>0</v>
      </c>
      <c r="AU50" s="109">
        <f>('Key Business Variables'!$C$11+'Key Business Variables'!$C$12)*'Key Business Variables'!$C$19*'Key Business Variables'!$C$42/100*'Core Calculations'!$M$64</f>
        <v>0</v>
      </c>
      <c r="AV50" s="109">
        <f>('Key Business Variables'!$C$11+'Key Business Variables'!$C$12)*'Key Business Variables'!$C$19*'Key Business Variables'!$C$42/100*'Core Calculations'!$M$64</f>
        <v>0</v>
      </c>
      <c r="AW50" s="109">
        <f>('Key Business Variables'!$C$11+'Key Business Variables'!$C$12)*'Key Business Variables'!$C$19*'Key Business Variables'!$C$42/100*'Core Calculations'!$M$64</f>
        <v>0</v>
      </c>
      <c r="AX50" s="109">
        <f>('Key Business Variables'!$C$11+'Key Business Variables'!$C$12)*'Key Business Variables'!$C$19*'Key Business Variables'!$C$42/100*'Core Calculations'!$M$64</f>
        <v>0</v>
      </c>
    </row>
    <row r="51" spans="2:51" x14ac:dyDescent="0.6">
      <c r="B51" s="51" t="s">
        <v>123</v>
      </c>
      <c r="C51" s="109">
        <f>('Key Business Variables'!$C$11+'Key Business Variables'!$C$12)*'Key Business Variables'!$C$20*'Key Business Variables'!$C$43/100*'Core Calculations'!$M$65</f>
        <v>0</v>
      </c>
      <c r="D51" s="109">
        <f>('Key Business Variables'!$C$11+'Key Business Variables'!$C$12)*'Key Business Variables'!$C$20*'Key Business Variables'!$C$43/100*'Core Calculations'!$M$65</f>
        <v>0</v>
      </c>
      <c r="E51" s="109">
        <f>('Key Business Variables'!$C$11+'Key Business Variables'!$C$12)*'Key Business Variables'!$C$20*'Key Business Variables'!$C$43/100*'Core Calculations'!$M$65</f>
        <v>0</v>
      </c>
      <c r="F51" s="109">
        <f>('Key Business Variables'!$C$11+'Key Business Variables'!$C$12)*'Key Business Variables'!$C$20*'Key Business Variables'!$C$43/100*'Core Calculations'!$M$65</f>
        <v>0</v>
      </c>
      <c r="G51" s="109">
        <f>('Key Business Variables'!$C$11+'Key Business Variables'!$C$12)*'Key Business Variables'!$C$20*'Key Business Variables'!$C$43/100*'Core Calculations'!$M$65</f>
        <v>0</v>
      </c>
      <c r="H51" s="109">
        <f>('Key Business Variables'!$C$11+'Key Business Variables'!$C$12)*'Key Business Variables'!$C$20*'Key Business Variables'!$C$43/100*'Core Calculations'!$M$65</f>
        <v>0</v>
      </c>
      <c r="I51" s="109">
        <f>('Key Business Variables'!$C$11+'Key Business Variables'!$C$12)*'Key Business Variables'!$C$20*'Key Business Variables'!$C$43/100*'Core Calculations'!$M$65</f>
        <v>0</v>
      </c>
      <c r="J51" s="109">
        <f>('Key Business Variables'!$C$11+'Key Business Variables'!$C$12)*'Key Business Variables'!$C$20*'Key Business Variables'!$C$43/100*'Core Calculations'!$M$65</f>
        <v>0</v>
      </c>
      <c r="K51" s="109">
        <f>('Key Business Variables'!$C$11+'Key Business Variables'!$C$12)*'Key Business Variables'!$C$20*'Key Business Variables'!$C$43/100*'Core Calculations'!$M$65</f>
        <v>0</v>
      </c>
      <c r="L51" s="109">
        <f>('Key Business Variables'!$C$11+'Key Business Variables'!$C$12)*'Key Business Variables'!$C$20*'Key Business Variables'!$C$43/100*'Core Calculations'!$M$65</f>
        <v>0</v>
      </c>
      <c r="M51" s="109">
        <f>('Key Business Variables'!$C$11+'Key Business Variables'!$C$12)*'Key Business Variables'!$C$20*'Key Business Variables'!$C$43/100*'Core Calculations'!$M$65</f>
        <v>0</v>
      </c>
      <c r="N51" s="109">
        <f>('Key Business Variables'!$C$11+'Key Business Variables'!$C$12)*'Key Business Variables'!$C$20*'Key Business Variables'!$C$43/100*'Core Calculations'!$M$65</f>
        <v>0</v>
      </c>
      <c r="O51" s="109">
        <f>('Key Business Variables'!$C$11+'Key Business Variables'!$C$12)*'Key Business Variables'!$C$20*'Key Business Variables'!$C$43/100*'Core Calculations'!$M$65</f>
        <v>0</v>
      </c>
      <c r="P51" s="109">
        <f>('Key Business Variables'!$C$11+'Key Business Variables'!$C$12)*'Key Business Variables'!$C$20*'Key Business Variables'!$C$43/100*'Core Calculations'!$M$65</f>
        <v>0</v>
      </c>
      <c r="Q51" s="109">
        <f>('Key Business Variables'!$C$11+'Key Business Variables'!$C$12)*'Key Business Variables'!$C$20*'Key Business Variables'!$C$43/100*'Core Calculations'!$M$65</f>
        <v>0</v>
      </c>
      <c r="R51" s="109">
        <f>('Key Business Variables'!$C$11+'Key Business Variables'!$C$12)*'Key Business Variables'!$C$20*'Key Business Variables'!$C$43/100*'Core Calculations'!$M$65</f>
        <v>0</v>
      </c>
      <c r="S51" s="109">
        <f>('Key Business Variables'!$C$11+'Key Business Variables'!$C$12)*'Key Business Variables'!$C$20*'Key Business Variables'!$C$43/100*'Core Calculations'!$M$65</f>
        <v>0</v>
      </c>
      <c r="T51" s="109">
        <f>('Key Business Variables'!$C$11+'Key Business Variables'!$C$12)*'Key Business Variables'!$C$20*'Key Business Variables'!$C$43/100*'Core Calculations'!$M$65</f>
        <v>0</v>
      </c>
      <c r="U51" s="109">
        <f>('Key Business Variables'!$C$11+'Key Business Variables'!$C$12)*'Key Business Variables'!$C$20*'Key Business Variables'!$C$43/100*'Core Calculations'!$M$65</f>
        <v>0</v>
      </c>
      <c r="V51" s="109">
        <f>('Key Business Variables'!$C$11+'Key Business Variables'!$C$12)*'Key Business Variables'!$C$20*'Key Business Variables'!$C$43/100*'Core Calculations'!$M$65</f>
        <v>0</v>
      </c>
      <c r="W51" s="109">
        <f>('Key Business Variables'!$C$11+'Key Business Variables'!$C$12)*'Key Business Variables'!$C$20*'Key Business Variables'!$C$43/100*'Core Calculations'!$M$65</f>
        <v>0</v>
      </c>
      <c r="X51" s="109">
        <f>('Key Business Variables'!$C$11+'Key Business Variables'!$C$12)*'Key Business Variables'!$C$20*'Key Business Variables'!$C$43/100*'Core Calculations'!$M$65</f>
        <v>0</v>
      </c>
      <c r="Y51" s="109">
        <f>('Key Business Variables'!$C$11+'Key Business Variables'!$C$12)*'Key Business Variables'!$C$20*'Key Business Variables'!$C$43/100*'Core Calculations'!$M$65</f>
        <v>0</v>
      </c>
      <c r="Z51" s="109">
        <f>('Key Business Variables'!$C$11+'Key Business Variables'!$C$12)*'Key Business Variables'!$C$20*'Key Business Variables'!$C$43/100*'Core Calculations'!$M$65</f>
        <v>0</v>
      </c>
      <c r="AA51" s="109">
        <f>('Key Business Variables'!$C$11+'Key Business Variables'!$C$12)*'Key Business Variables'!$C$20*'Key Business Variables'!$C$43/100*'Core Calculations'!$M$65</f>
        <v>0</v>
      </c>
      <c r="AB51" s="109">
        <f>('Key Business Variables'!$C$11+'Key Business Variables'!$C$12)*'Key Business Variables'!$C$20*'Key Business Variables'!$C$43/100*'Core Calculations'!$M$65</f>
        <v>0</v>
      </c>
      <c r="AC51" s="109">
        <f>('Key Business Variables'!$C$11+'Key Business Variables'!$C$12)*'Key Business Variables'!$C$20*'Key Business Variables'!$C$43/100*'Core Calculations'!$M$65</f>
        <v>0</v>
      </c>
      <c r="AD51" s="109">
        <f>('Key Business Variables'!$C$11+'Key Business Variables'!$C$12)*'Key Business Variables'!$C$20*'Key Business Variables'!$C$43/100*'Core Calculations'!$M$65</f>
        <v>0</v>
      </c>
      <c r="AE51" s="109">
        <f>('Key Business Variables'!$C$11+'Key Business Variables'!$C$12)*'Key Business Variables'!$C$20*'Key Business Variables'!$C$43/100*'Core Calculations'!$M$65</f>
        <v>0</v>
      </c>
      <c r="AF51" s="109">
        <f>('Key Business Variables'!$C$11+'Key Business Variables'!$C$12)*'Key Business Variables'!$C$20*'Key Business Variables'!$C$43/100*'Core Calculations'!$M$65</f>
        <v>0</v>
      </c>
      <c r="AG51" s="109">
        <f>('Key Business Variables'!$C$11+'Key Business Variables'!$C$12)*'Key Business Variables'!$C$20*'Key Business Variables'!$C$43/100*'Core Calculations'!$M$65</f>
        <v>0</v>
      </c>
      <c r="AH51" s="109">
        <f>('Key Business Variables'!$C$11+'Key Business Variables'!$C$12)*'Key Business Variables'!$C$20*'Key Business Variables'!$C$43/100*'Core Calculations'!$M$65</f>
        <v>0</v>
      </c>
      <c r="AI51" s="109">
        <f>('Key Business Variables'!$C$11+'Key Business Variables'!$C$12)*'Key Business Variables'!$C$20*'Key Business Variables'!$C$43/100*'Core Calculations'!$M$65</f>
        <v>0</v>
      </c>
      <c r="AJ51" s="109">
        <f>('Key Business Variables'!$C$11+'Key Business Variables'!$C$12)*'Key Business Variables'!$C$20*'Key Business Variables'!$C$43/100*'Core Calculations'!$M$65</f>
        <v>0</v>
      </c>
      <c r="AK51" s="109">
        <f>('Key Business Variables'!$C$11+'Key Business Variables'!$C$12)*'Key Business Variables'!$C$20*'Key Business Variables'!$C$43/100*'Core Calculations'!$M$65</f>
        <v>0</v>
      </c>
      <c r="AL51" s="109">
        <f>('Key Business Variables'!$C$11+'Key Business Variables'!$C$12)*'Key Business Variables'!$C$20*'Key Business Variables'!$C$43/100*'Core Calculations'!$M$65</f>
        <v>0</v>
      </c>
      <c r="AM51" s="109">
        <f>('Key Business Variables'!$C$11+'Key Business Variables'!$C$12)*'Key Business Variables'!$C$20*'Key Business Variables'!$C$43/100*'Core Calculations'!$M$65</f>
        <v>0</v>
      </c>
      <c r="AN51" s="109">
        <f>('Key Business Variables'!$C$11+'Key Business Variables'!$C$12)*'Key Business Variables'!$C$20*'Key Business Variables'!$C$43/100*'Core Calculations'!$M$65</f>
        <v>0</v>
      </c>
      <c r="AO51" s="109">
        <f>('Key Business Variables'!$C$11+'Key Business Variables'!$C$12)*'Key Business Variables'!$C$20*'Key Business Variables'!$C$43/100*'Core Calculations'!$M$65</f>
        <v>0</v>
      </c>
      <c r="AP51" s="109">
        <f>('Key Business Variables'!$C$11+'Key Business Variables'!$C$12)*'Key Business Variables'!$C$20*'Key Business Variables'!$C$43/100*'Core Calculations'!$M$65</f>
        <v>0</v>
      </c>
      <c r="AQ51" s="109">
        <f>('Key Business Variables'!$C$11+'Key Business Variables'!$C$12)*'Key Business Variables'!$C$20*'Key Business Variables'!$C$43/100*'Core Calculations'!$M$65</f>
        <v>0</v>
      </c>
      <c r="AR51" s="109">
        <f>('Key Business Variables'!$C$11+'Key Business Variables'!$C$12)*'Key Business Variables'!$C$20*'Key Business Variables'!$C$43/100*'Core Calculations'!$M$65</f>
        <v>0</v>
      </c>
      <c r="AS51" s="109">
        <f>('Key Business Variables'!$C$11+'Key Business Variables'!$C$12)*'Key Business Variables'!$C$20*'Key Business Variables'!$C$43/100*'Core Calculations'!$M$65</f>
        <v>0</v>
      </c>
      <c r="AT51" s="109">
        <f>('Key Business Variables'!$C$11+'Key Business Variables'!$C$12)*'Key Business Variables'!$C$20*'Key Business Variables'!$C$43/100*'Core Calculations'!$M$65</f>
        <v>0</v>
      </c>
      <c r="AU51" s="109">
        <f>('Key Business Variables'!$C$11+'Key Business Variables'!$C$12)*'Key Business Variables'!$C$20*'Key Business Variables'!$C$43/100*'Core Calculations'!$M$65</f>
        <v>0</v>
      </c>
      <c r="AV51" s="109">
        <f>('Key Business Variables'!$C$11+'Key Business Variables'!$C$12)*'Key Business Variables'!$C$20*'Key Business Variables'!$C$43/100*'Core Calculations'!$M$65</f>
        <v>0</v>
      </c>
      <c r="AW51" s="109">
        <f>('Key Business Variables'!$C$11+'Key Business Variables'!$C$12)*'Key Business Variables'!$C$20*'Key Business Variables'!$C$43/100*'Core Calculations'!$M$65</f>
        <v>0</v>
      </c>
      <c r="AX51" s="109">
        <f>('Key Business Variables'!$C$11+'Key Business Variables'!$C$12)*'Key Business Variables'!$C$20*'Key Business Variables'!$C$43/100*'Core Calculations'!$M$65</f>
        <v>0</v>
      </c>
    </row>
    <row r="52" spans="2:51" x14ac:dyDescent="0.6"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</row>
    <row r="53" spans="2:51" x14ac:dyDescent="0.6">
      <c r="B53" s="51" t="s">
        <v>155</v>
      </c>
      <c r="C53" s="109">
        <f>C46</f>
        <v>6300</v>
      </c>
      <c r="D53" s="109">
        <f>C53+D46</f>
        <v>6300</v>
      </c>
      <c r="E53" s="109">
        <f t="shared" ref="E53:AX53" si="1">D53+E46</f>
        <v>6300</v>
      </c>
      <c r="F53" s="109">
        <f t="shared" si="1"/>
        <v>6300</v>
      </c>
      <c r="G53" s="109">
        <f t="shared" si="1"/>
        <v>6300</v>
      </c>
      <c r="H53" s="109">
        <f t="shared" si="1"/>
        <v>6300</v>
      </c>
      <c r="I53" s="109">
        <f t="shared" si="1"/>
        <v>6300</v>
      </c>
      <c r="J53" s="109">
        <f t="shared" si="1"/>
        <v>6300</v>
      </c>
      <c r="K53" s="109">
        <f t="shared" si="1"/>
        <v>6300</v>
      </c>
      <c r="L53" s="109">
        <f t="shared" si="1"/>
        <v>6300</v>
      </c>
      <c r="M53" s="109">
        <f t="shared" si="1"/>
        <v>6300</v>
      </c>
      <c r="N53" s="109">
        <f t="shared" si="1"/>
        <v>6300</v>
      </c>
      <c r="O53" s="109">
        <f t="shared" si="1"/>
        <v>6343.2</v>
      </c>
      <c r="P53" s="109">
        <f t="shared" si="1"/>
        <v>6386.4</v>
      </c>
      <c r="Q53" s="109">
        <f t="shared" si="1"/>
        <v>6429.5999999999995</v>
      </c>
      <c r="R53" s="109">
        <f t="shared" si="1"/>
        <v>6472.7999999999993</v>
      </c>
      <c r="S53" s="109">
        <f t="shared" si="1"/>
        <v>6515.9999999999991</v>
      </c>
      <c r="T53" s="109">
        <f t="shared" si="1"/>
        <v>6559.1999999999989</v>
      </c>
      <c r="U53" s="109">
        <f t="shared" si="1"/>
        <v>6602.3999999999987</v>
      </c>
      <c r="V53" s="109">
        <f t="shared" si="1"/>
        <v>6645.5999999999985</v>
      </c>
      <c r="W53" s="109">
        <f t="shared" si="1"/>
        <v>6688.7999999999984</v>
      </c>
      <c r="X53" s="109">
        <f t="shared" si="1"/>
        <v>6731.9999999999982</v>
      </c>
      <c r="Y53" s="109">
        <f t="shared" si="1"/>
        <v>6775.199999999998</v>
      </c>
      <c r="Z53" s="109">
        <f t="shared" si="1"/>
        <v>6818.3999999999978</v>
      </c>
      <c r="AA53" s="109">
        <f t="shared" si="1"/>
        <v>6861.5999999999976</v>
      </c>
      <c r="AB53" s="109">
        <f t="shared" si="1"/>
        <v>6904.7999999999975</v>
      </c>
      <c r="AC53" s="109">
        <f t="shared" si="1"/>
        <v>6947.9999999999973</v>
      </c>
      <c r="AD53" s="109">
        <f t="shared" si="1"/>
        <v>6991.1999999999971</v>
      </c>
      <c r="AE53" s="109">
        <f t="shared" si="1"/>
        <v>7034.3999999999969</v>
      </c>
      <c r="AF53" s="109">
        <f t="shared" si="1"/>
        <v>7077.5999999999967</v>
      </c>
      <c r="AG53" s="109">
        <f t="shared" si="1"/>
        <v>7120.7999999999965</v>
      </c>
      <c r="AH53" s="109">
        <f t="shared" si="1"/>
        <v>7163.9999999999964</v>
      </c>
      <c r="AI53" s="109">
        <f t="shared" si="1"/>
        <v>7207.1999999999962</v>
      </c>
      <c r="AJ53" s="109">
        <f t="shared" si="1"/>
        <v>7250.399999999996</v>
      </c>
      <c r="AK53" s="109">
        <f t="shared" si="1"/>
        <v>7293.5999999999958</v>
      </c>
      <c r="AL53" s="109">
        <f t="shared" si="1"/>
        <v>7336.7999999999956</v>
      </c>
      <c r="AM53" s="109">
        <f t="shared" si="1"/>
        <v>7379.9999999999955</v>
      </c>
      <c r="AN53" s="109">
        <f t="shared" si="1"/>
        <v>7423.1999999999953</v>
      </c>
      <c r="AO53" s="109">
        <f t="shared" si="1"/>
        <v>7466.3999999999951</v>
      </c>
      <c r="AP53" s="109">
        <f t="shared" si="1"/>
        <v>7509.5999999999949</v>
      </c>
      <c r="AQ53" s="109">
        <f t="shared" si="1"/>
        <v>7552.7999999999947</v>
      </c>
      <c r="AR53" s="109">
        <f t="shared" si="1"/>
        <v>7595.9999999999945</v>
      </c>
      <c r="AS53" s="109">
        <f t="shared" si="1"/>
        <v>7639.1999999999944</v>
      </c>
      <c r="AT53" s="109">
        <f t="shared" si="1"/>
        <v>7682.3999999999942</v>
      </c>
      <c r="AU53" s="109">
        <f t="shared" si="1"/>
        <v>7725.599999999994</v>
      </c>
      <c r="AV53" s="109">
        <f t="shared" si="1"/>
        <v>7768.7999999999938</v>
      </c>
      <c r="AW53" s="109">
        <f t="shared" si="1"/>
        <v>7811.9999999999936</v>
      </c>
      <c r="AX53" s="109">
        <f t="shared" si="1"/>
        <v>7855.1999999999935</v>
      </c>
      <c r="AY53" s="118">
        <f>AX53/AX62</f>
        <v>0.29486486486486463</v>
      </c>
    </row>
    <row r="54" spans="2:51" x14ac:dyDescent="0.6">
      <c r="B54" s="51" t="s">
        <v>156</v>
      </c>
      <c r="C54" s="109">
        <f>SUM(C47:C51)</f>
        <v>165.6</v>
      </c>
      <c r="D54" s="109">
        <f>C54+SUM(D47:D51)</f>
        <v>331.2</v>
      </c>
      <c r="E54" s="109">
        <f t="shared" ref="E54:AX54" si="2">D54+SUM(E47:E51)</f>
        <v>496.79999999999995</v>
      </c>
      <c r="F54" s="109">
        <f t="shared" si="2"/>
        <v>662.4</v>
      </c>
      <c r="G54" s="109">
        <f t="shared" si="2"/>
        <v>828</v>
      </c>
      <c r="H54" s="109">
        <f t="shared" si="2"/>
        <v>993.6</v>
      </c>
      <c r="I54" s="109">
        <f t="shared" si="2"/>
        <v>1159.2</v>
      </c>
      <c r="J54" s="109">
        <f t="shared" si="2"/>
        <v>1324.8</v>
      </c>
      <c r="K54" s="109">
        <f t="shared" si="2"/>
        <v>1490.3999999999999</v>
      </c>
      <c r="L54" s="109">
        <f t="shared" si="2"/>
        <v>1655.9999999999998</v>
      </c>
      <c r="M54" s="109">
        <f t="shared" si="2"/>
        <v>1821.5999999999997</v>
      </c>
      <c r="N54" s="109">
        <f t="shared" si="2"/>
        <v>1987.1999999999996</v>
      </c>
      <c r="O54" s="109">
        <f t="shared" si="2"/>
        <v>2152.7999999999997</v>
      </c>
      <c r="P54" s="109">
        <f t="shared" si="2"/>
        <v>2318.3999999999996</v>
      </c>
      <c r="Q54" s="109">
        <f t="shared" si="2"/>
        <v>2483.9999999999995</v>
      </c>
      <c r="R54" s="109">
        <f t="shared" si="2"/>
        <v>2649.5999999999995</v>
      </c>
      <c r="S54" s="109">
        <f t="shared" si="2"/>
        <v>2815.1999999999994</v>
      </c>
      <c r="T54" s="109">
        <f t="shared" si="2"/>
        <v>2980.7999999999993</v>
      </c>
      <c r="U54" s="109">
        <f t="shared" si="2"/>
        <v>3146.3999999999992</v>
      </c>
      <c r="V54" s="109">
        <f t="shared" si="2"/>
        <v>3311.9999999999991</v>
      </c>
      <c r="W54" s="109">
        <f t="shared" si="2"/>
        <v>3477.599999999999</v>
      </c>
      <c r="X54" s="109">
        <f t="shared" si="2"/>
        <v>3643.1999999999989</v>
      </c>
      <c r="Y54" s="109">
        <f t="shared" si="2"/>
        <v>3808.7999999999988</v>
      </c>
      <c r="Z54" s="109">
        <f t="shared" si="2"/>
        <v>3974.3999999999987</v>
      </c>
      <c r="AA54" s="109">
        <f t="shared" si="2"/>
        <v>4139.9999999999991</v>
      </c>
      <c r="AB54" s="109">
        <f t="shared" si="2"/>
        <v>4305.5999999999995</v>
      </c>
      <c r="AC54" s="109">
        <f t="shared" si="2"/>
        <v>4471.2</v>
      </c>
      <c r="AD54" s="109">
        <f t="shared" si="2"/>
        <v>4636.8</v>
      </c>
      <c r="AE54" s="109">
        <f t="shared" si="2"/>
        <v>4802.4000000000005</v>
      </c>
      <c r="AF54" s="109">
        <f t="shared" si="2"/>
        <v>4968.0000000000009</v>
      </c>
      <c r="AG54" s="109">
        <f t="shared" si="2"/>
        <v>5133.6000000000013</v>
      </c>
      <c r="AH54" s="109">
        <f t="shared" si="2"/>
        <v>5299.2000000000016</v>
      </c>
      <c r="AI54" s="109">
        <f t="shared" si="2"/>
        <v>5464.800000000002</v>
      </c>
      <c r="AJ54" s="109">
        <f t="shared" si="2"/>
        <v>5630.4000000000024</v>
      </c>
      <c r="AK54" s="109">
        <f t="shared" si="2"/>
        <v>5796.0000000000027</v>
      </c>
      <c r="AL54" s="109">
        <f t="shared" si="2"/>
        <v>5961.6000000000031</v>
      </c>
      <c r="AM54" s="109">
        <f t="shared" si="2"/>
        <v>6127.2000000000035</v>
      </c>
      <c r="AN54" s="109">
        <f t="shared" si="2"/>
        <v>6292.8000000000038</v>
      </c>
      <c r="AO54" s="109">
        <f t="shared" si="2"/>
        <v>6458.4000000000042</v>
      </c>
      <c r="AP54" s="109">
        <f t="shared" si="2"/>
        <v>6624.0000000000045</v>
      </c>
      <c r="AQ54" s="109">
        <f t="shared" si="2"/>
        <v>6789.6000000000049</v>
      </c>
      <c r="AR54" s="109">
        <f t="shared" si="2"/>
        <v>6955.2000000000053</v>
      </c>
      <c r="AS54" s="109">
        <f t="shared" si="2"/>
        <v>7120.8000000000056</v>
      </c>
      <c r="AT54" s="109">
        <f t="shared" si="2"/>
        <v>7286.400000000006</v>
      </c>
      <c r="AU54" s="109">
        <f t="shared" si="2"/>
        <v>7452.0000000000064</v>
      </c>
      <c r="AV54" s="109">
        <f t="shared" si="2"/>
        <v>7617.6000000000067</v>
      </c>
      <c r="AW54" s="109">
        <f t="shared" si="2"/>
        <v>7783.2000000000071</v>
      </c>
      <c r="AX54" s="109">
        <f t="shared" si="2"/>
        <v>7948.8000000000075</v>
      </c>
      <c r="AY54" s="118">
        <f>AX54/AX63</f>
        <v>0.37297297297297333</v>
      </c>
    </row>
    <row r="55" spans="2:51" x14ac:dyDescent="0.6"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</row>
    <row r="56" spans="2:51" x14ac:dyDescent="0.6">
      <c r="B56" s="51" t="s">
        <v>166</v>
      </c>
      <c r="C56" s="91">
        <f>('Key Business Variables'!C51*'Key Business Variables'!C11)</f>
        <v>18000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>
        <f>'Key Business Variables'!$C$51*'Key Business Variables'!$C$52*'Key Business Variables'!$C$11/12</f>
        <v>240</v>
      </c>
      <c r="P56" s="109">
        <f>'Key Business Variables'!$C$51*'Key Business Variables'!$C$52*'Key Business Variables'!$C$11/12</f>
        <v>240</v>
      </c>
      <c r="Q56" s="109">
        <f>'Key Business Variables'!$C$51*'Key Business Variables'!$C$52*'Key Business Variables'!$C$11/12</f>
        <v>240</v>
      </c>
      <c r="R56" s="109">
        <f>'Key Business Variables'!$C$51*'Key Business Variables'!$C$52*'Key Business Variables'!$C$11/12</f>
        <v>240</v>
      </c>
      <c r="S56" s="109">
        <f>'Key Business Variables'!$C$51*'Key Business Variables'!$C$52*'Key Business Variables'!$C$11/12</f>
        <v>240</v>
      </c>
      <c r="T56" s="109">
        <f>'Key Business Variables'!$C$51*'Key Business Variables'!$C$52*'Key Business Variables'!$C$11/12</f>
        <v>240</v>
      </c>
      <c r="U56" s="109">
        <f>'Key Business Variables'!$C$51*'Key Business Variables'!$C$52*'Key Business Variables'!$C$11/12</f>
        <v>240</v>
      </c>
      <c r="V56" s="109">
        <f>'Key Business Variables'!$C$51*'Key Business Variables'!$C$52*'Key Business Variables'!$C$11/12</f>
        <v>240</v>
      </c>
      <c r="W56" s="109">
        <f>'Key Business Variables'!$C$51*'Key Business Variables'!$C$52*'Key Business Variables'!$C$11/12</f>
        <v>240</v>
      </c>
      <c r="X56" s="109">
        <f>'Key Business Variables'!$C$51*'Key Business Variables'!$C$52*'Key Business Variables'!$C$11/12</f>
        <v>240</v>
      </c>
      <c r="Y56" s="109">
        <f>'Key Business Variables'!$C$51*'Key Business Variables'!$C$52*'Key Business Variables'!$C$11/12</f>
        <v>240</v>
      </c>
      <c r="Z56" s="109">
        <f>'Key Business Variables'!$C$51*'Key Business Variables'!$C$52*'Key Business Variables'!$C$11/12</f>
        <v>240</v>
      </c>
      <c r="AA56" s="109">
        <f>'Key Business Variables'!$C$51*'Key Business Variables'!$C$52*'Key Business Variables'!$C$11/12</f>
        <v>240</v>
      </c>
      <c r="AB56" s="109">
        <f>'Key Business Variables'!$C$51*'Key Business Variables'!$C$52*'Key Business Variables'!$C$11/12</f>
        <v>240</v>
      </c>
      <c r="AC56" s="109">
        <f>'Key Business Variables'!$C$51*'Key Business Variables'!$C$52*'Key Business Variables'!$C$11/12</f>
        <v>240</v>
      </c>
      <c r="AD56" s="109">
        <f>'Key Business Variables'!$C$51*'Key Business Variables'!$C$52*'Key Business Variables'!$C$11/12</f>
        <v>240</v>
      </c>
      <c r="AE56" s="109">
        <f>'Key Business Variables'!$C$51*'Key Business Variables'!$C$52*'Key Business Variables'!$C$11/12</f>
        <v>240</v>
      </c>
      <c r="AF56" s="109">
        <f>'Key Business Variables'!$C$51*'Key Business Variables'!$C$52*'Key Business Variables'!$C$11/12</f>
        <v>240</v>
      </c>
      <c r="AG56" s="109">
        <f>'Key Business Variables'!$C$51*'Key Business Variables'!$C$52*'Key Business Variables'!$C$11/12</f>
        <v>240</v>
      </c>
      <c r="AH56" s="109">
        <f>'Key Business Variables'!$C$51*'Key Business Variables'!$C$52*'Key Business Variables'!$C$11/12</f>
        <v>240</v>
      </c>
      <c r="AI56" s="109">
        <f>'Key Business Variables'!$C$51*'Key Business Variables'!$C$52*'Key Business Variables'!$C$11/12</f>
        <v>240</v>
      </c>
      <c r="AJ56" s="109">
        <f>'Key Business Variables'!$C$51*'Key Business Variables'!$C$52*'Key Business Variables'!$C$11/12</f>
        <v>240</v>
      </c>
      <c r="AK56" s="109">
        <f>'Key Business Variables'!$C$51*'Key Business Variables'!$C$52*'Key Business Variables'!$C$11/12</f>
        <v>240</v>
      </c>
      <c r="AL56" s="109">
        <f>'Key Business Variables'!$C$51*'Key Business Variables'!$C$52*'Key Business Variables'!$C$11/12</f>
        <v>240</v>
      </c>
      <c r="AM56" s="109">
        <f>'Key Business Variables'!$C$51*'Key Business Variables'!$C$52*'Key Business Variables'!$C$11/12</f>
        <v>240</v>
      </c>
      <c r="AN56" s="109">
        <f>'Key Business Variables'!$C$51*'Key Business Variables'!$C$52*'Key Business Variables'!$C$11/12</f>
        <v>240</v>
      </c>
      <c r="AO56" s="109">
        <f>'Key Business Variables'!$C$51*'Key Business Variables'!$C$52*'Key Business Variables'!$C$11/12</f>
        <v>240</v>
      </c>
      <c r="AP56" s="109">
        <f>'Key Business Variables'!$C$51*'Key Business Variables'!$C$52*'Key Business Variables'!$C$11/12</f>
        <v>240</v>
      </c>
      <c r="AQ56" s="109">
        <f>'Key Business Variables'!$C$51*'Key Business Variables'!$C$52*'Key Business Variables'!$C$11/12</f>
        <v>240</v>
      </c>
      <c r="AR56" s="109">
        <f>'Key Business Variables'!$C$51*'Key Business Variables'!$C$52*'Key Business Variables'!$C$11/12</f>
        <v>240</v>
      </c>
      <c r="AS56" s="109">
        <f>'Key Business Variables'!$C$51*'Key Business Variables'!$C$52*'Key Business Variables'!$C$11/12</f>
        <v>240</v>
      </c>
      <c r="AT56" s="109">
        <f>'Key Business Variables'!$C$51*'Key Business Variables'!$C$52*'Key Business Variables'!$C$11/12</f>
        <v>240</v>
      </c>
      <c r="AU56" s="109">
        <f>'Key Business Variables'!$C$51*'Key Business Variables'!$C$52*'Key Business Variables'!$C$11/12</f>
        <v>240</v>
      </c>
      <c r="AV56" s="109">
        <f>'Key Business Variables'!$C$51*'Key Business Variables'!$C$52*'Key Business Variables'!$C$11/12</f>
        <v>240</v>
      </c>
      <c r="AW56" s="109">
        <f>'Key Business Variables'!$C$51*'Key Business Variables'!$C$52*'Key Business Variables'!$C$11/12</f>
        <v>240</v>
      </c>
      <c r="AX56" s="109">
        <f>'Key Business Variables'!$C$51*'Key Business Variables'!$C$52*'Key Business Variables'!$C$11/12</f>
        <v>240</v>
      </c>
    </row>
    <row r="57" spans="2:51" x14ac:dyDescent="0.6">
      <c r="B57" s="51" t="s">
        <v>161</v>
      </c>
      <c r="C57" s="91">
        <f>'Key Business Variables'!$C$11*'Key Business Variables'!$C$17</f>
        <v>420</v>
      </c>
      <c r="D57" s="91">
        <f>'Key Business Variables'!$C$11*'Key Business Variables'!$C$17</f>
        <v>420</v>
      </c>
      <c r="E57" s="91">
        <f>'Key Business Variables'!$C$11*'Key Business Variables'!$C$17</f>
        <v>420</v>
      </c>
      <c r="F57" s="91">
        <f>'Key Business Variables'!$C$11*'Key Business Variables'!$C$17</f>
        <v>420</v>
      </c>
      <c r="G57" s="91">
        <f>'Key Business Variables'!$C$11*'Key Business Variables'!$C$17</f>
        <v>420</v>
      </c>
      <c r="H57" s="91">
        <f>'Key Business Variables'!$C$11*'Key Business Variables'!$C$17</f>
        <v>420</v>
      </c>
      <c r="I57" s="91">
        <f>'Key Business Variables'!$C$11*'Key Business Variables'!$C$17</f>
        <v>420</v>
      </c>
      <c r="J57" s="91">
        <f>'Key Business Variables'!$C$11*'Key Business Variables'!$C$17</f>
        <v>420</v>
      </c>
      <c r="K57" s="91">
        <f>'Key Business Variables'!$C$11*'Key Business Variables'!$C$17</f>
        <v>420</v>
      </c>
      <c r="L57" s="91">
        <f>'Key Business Variables'!$C$11*'Key Business Variables'!$C$17</f>
        <v>420</v>
      </c>
      <c r="M57" s="91">
        <f>'Key Business Variables'!$C$11*'Key Business Variables'!$C$17</f>
        <v>420</v>
      </c>
      <c r="N57" s="91">
        <f>'Key Business Variables'!$C$11*'Key Business Variables'!$C$17</f>
        <v>420</v>
      </c>
      <c r="O57" s="91">
        <f>'Key Business Variables'!$C$11*'Key Business Variables'!$C$17</f>
        <v>420</v>
      </c>
      <c r="P57" s="91">
        <f>'Key Business Variables'!$C$11*'Key Business Variables'!$C$17</f>
        <v>420</v>
      </c>
      <c r="Q57" s="91">
        <f>'Key Business Variables'!$C$11*'Key Business Variables'!$C$17</f>
        <v>420</v>
      </c>
      <c r="R57" s="91">
        <f>'Key Business Variables'!$C$11*'Key Business Variables'!$C$17</f>
        <v>420</v>
      </c>
      <c r="S57" s="91">
        <f>'Key Business Variables'!$C$11*'Key Business Variables'!$C$17</f>
        <v>420</v>
      </c>
      <c r="T57" s="91">
        <f>'Key Business Variables'!$C$11*'Key Business Variables'!$C$17</f>
        <v>420</v>
      </c>
      <c r="U57" s="91">
        <f>'Key Business Variables'!$C$11*'Key Business Variables'!$C$17</f>
        <v>420</v>
      </c>
      <c r="V57" s="91">
        <f>'Key Business Variables'!$C$11*'Key Business Variables'!$C$17</f>
        <v>420</v>
      </c>
      <c r="W57" s="91">
        <f>'Key Business Variables'!$C$11*'Key Business Variables'!$C$17</f>
        <v>420</v>
      </c>
      <c r="X57" s="91">
        <f>'Key Business Variables'!$C$11*'Key Business Variables'!$C$17</f>
        <v>420</v>
      </c>
      <c r="Y57" s="91">
        <f>'Key Business Variables'!$C$11*'Key Business Variables'!$C$17</f>
        <v>420</v>
      </c>
      <c r="Z57" s="91">
        <f>'Key Business Variables'!$C$11*'Key Business Variables'!$C$17</f>
        <v>420</v>
      </c>
      <c r="AA57" s="91">
        <f>'Key Business Variables'!$C$11*'Key Business Variables'!$C$17</f>
        <v>420</v>
      </c>
      <c r="AB57" s="91">
        <f>'Key Business Variables'!$C$11*'Key Business Variables'!$C$17</f>
        <v>420</v>
      </c>
      <c r="AC57" s="91">
        <f>'Key Business Variables'!$C$11*'Key Business Variables'!$C$17</f>
        <v>420</v>
      </c>
      <c r="AD57" s="91">
        <f>'Key Business Variables'!$C$11*'Key Business Variables'!$C$17</f>
        <v>420</v>
      </c>
      <c r="AE57" s="91">
        <f>'Key Business Variables'!$C$11*'Key Business Variables'!$C$17</f>
        <v>420</v>
      </c>
      <c r="AF57" s="91">
        <f>'Key Business Variables'!$C$11*'Key Business Variables'!$C$17</f>
        <v>420</v>
      </c>
      <c r="AG57" s="91">
        <f>'Key Business Variables'!$C$11*'Key Business Variables'!$C$17</f>
        <v>420</v>
      </c>
      <c r="AH57" s="91">
        <f>'Key Business Variables'!$C$11*'Key Business Variables'!$C$17</f>
        <v>420</v>
      </c>
      <c r="AI57" s="91">
        <f>'Key Business Variables'!$C$11*'Key Business Variables'!$C$17</f>
        <v>420</v>
      </c>
      <c r="AJ57" s="91">
        <f>'Key Business Variables'!$C$11*'Key Business Variables'!$C$17</f>
        <v>420</v>
      </c>
      <c r="AK57" s="91">
        <f>'Key Business Variables'!$C$11*'Key Business Variables'!$C$17</f>
        <v>420</v>
      </c>
      <c r="AL57" s="91">
        <f>'Key Business Variables'!$C$11*'Key Business Variables'!$C$17</f>
        <v>420</v>
      </c>
      <c r="AM57" s="91">
        <f>'Key Business Variables'!$C$11*'Key Business Variables'!$C$17</f>
        <v>420</v>
      </c>
      <c r="AN57" s="91">
        <f>'Key Business Variables'!$C$11*'Key Business Variables'!$C$17</f>
        <v>420</v>
      </c>
      <c r="AO57" s="91">
        <f>'Key Business Variables'!$C$11*'Key Business Variables'!$C$17</f>
        <v>420</v>
      </c>
      <c r="AP57" s="91">
        <f>'Key Business Variables'!$C$11*'Key Business Variables'!$C$17</f>
        <v>420</v>
      </c>
      <c r="AQ57" s="91">
        <f>'Key Business Variables'!$C$11*'Key Business Variables'!$C$17</f>
        <v>420</v>
      </c>
      <c r="AR57" s="91">
        <f>'Key Business Variables'!$C$11*'Key Business Variables'!$C$17</f>
        <v>420</v>
      </c>
      <c r="AS57" s="91">
        <f>'Key Business Variables'!$C$11*'Key Business Variables'!$C$17</f>
        <v>420</v>
      </c>
      <c r="AT57" s="91">
        <f>'Key Business Variables'!$C$11*'Key Business Variables'!$C$17</f>
        <v>420</v>
      </c>
      <c r="AU57" s="91">
        <f>'Key Business Variables'!$C$11*'Key Business Variables'!$C$17</f>
        <v>420</v>
      </c>
      <c r="AV57" s="91">
        <f>'Key Business Variables'!$C$11*'Key Business Variables'!$C$17</f>
        <v>420</v>
      </c>
      <c r="AW57" s="91">
        <f>'Key Business Variables'!$C$11*'Key Business Variables'!$C$17</f>
        <v>420</v>
      </c>
      <c r="AX57" s="91">
        <f>'Key Business Variables'!$C$11*'Key Business Variables'!$C$17</f>
        <v>420</v>
      </c>
    </row>
    <row r="58" spans="2:51" x14ac:dyDescent="0.6">
      <c r="B58" s="51" t="s">
        <v>162</v>
      </c>
      <c r="C58" s="91">
        <f>'Key Business Variables'!$C$12*'Key Business Variables'!$C$18</f>
        <v>24</v>
      </c>
      <c r="D58" s="91">
        <f>'Key Business Variables'!$C$12*'Key Business Variables'!$C$18</f>
        <v>24</v>
      </c>
      <c r="E58" s="91">
        <f>'Key Business Variables'!$C$12*'Key Business Variables'!$C$18</f>
        <v>24</v>
      </c>
      <c r="F58" s="91">
        <f>'Key Business Variables'!$C$12*'Key Business Variables'!$C$18</f>
        <v>24</v>
      </c>
      <c r="G58" s="91">
        <f>'Key Business Variables'!$C$12*'Key Business Variables'!$C$18</f>
        <v>24</v>
      </c>
      <c r="H58" s="91">
        <f>'Key Business Variables'!$C$12*'Key Business Variables'!$C$18</f>
        <v>24</v>
      </c>
      <c r="I58" s="91">
        <f>'Key Business Variables'!$C$12*'Key Business Variables'!$C$18</f>
        <v>24</v>
      </c>
      <c r="J58" s="91">
        <f>'Key Business Variables'!$C$12*'Key Business Variables'!$C$18</f>
        <v>24</v>
      </c>
      <c r="K58" s="91">
        <f>'Key Business Variables'!$C$12*'Key Business Variables'!$C$18</f>
        <v>24</v>
      </c>
      <c r="L58" s="91">
        <f>'Key Business Variables'!$C$12*'Key Business Variables'!$C$18</f>
        <v>24</v>
      </c>
      <c r="M58" s="91">
        <f>'Key Business Variables'!$C$12*'Key Business Variables'!$C$18</f>
        <v>24</v>
      </c>
      <c r="N58" s="91">
        <f>'Key Business Variables'!$C$12*'Key Business Variables'!$C$18</f>
        <v>24</v>
      </c>
      <c r="O58" s="91">
        <f>'Key Business Variables'!$C$12*'Key Business Variables'!$C$18</f>
        <v>24</v>
      </c>
      <c r="P58" s="91">
        <f>'Key Business Variables'!$C$12*'Key Business Variables'!$C$18</f>
        <v>24</v>
      </c>
      <c r="Q58" s="91">
        <f>'Key Business Variables'!$C$12*'Key Business Variables'!$C$18</f>
        <v>24</v>
      </c>
      <c r="R58" s="91">
        <f>'Key Business Variables'!$C$12*'Key Business Variables'!$C$18</f>
        <v>24</v>
      </c>
      <c r="S58" s="91">
        <f>'Key Business Variables'!$C$12*'Key Business Variables'!$C$18</f>
        <v>24</v>
      </c>
      <c r="T58" s="91">
        <f>'Key Business Variables'!$C$12*'Key Business Variables'!$C$18</f>
        <v>24</v>
      </c>
      <c r="U58" s="91">
        <f>'Key Business Variables'!$C$12*'Key Business Variables'!$C$18</f>
        <v>24</v>
      </c>
      <c r="V58" s="91">
        <f>'Key Business Variables'!$C$12*'Key Business Variables'!$C$18</f>
        <v>24</v>
      </c>
      <c r="W58" s="91">
        <f>'Key Business Variables'!$C$12*'Key Business Variables'!$C$18</f>
        <v>24</v>
      </c>
      <c r="X58" s="91">
        <f>'Key Business Variables'!$C$12*'Key Business Variables'!$C$18</f>
        <v>24</v>
      </c>
      <c r="Y58" s="91">
        <f>'Key Business Variables'!$C$12*'Key Business Variables'!$C$18</f>
        <v>24</v>
      </c>
      <c r="Z58" s="91">
        <f>'Key Business Variables'!$C$12*'Key Business Variables'!$C$18</f>
        <v>24</v>
      </c>
      <c r="AA58" s="91">
        <f>'Key Business Variables'!$C$12*'Key Business Variables'!$C$18</f>
        <v>24</v>
      </c>
      <c r="AB58" s="91">
        <f>'Key Business Variables'!$C$12*'Key Business Variables'!$C$18</f>
        <v>24</v>
      </c>
      <c r="AC58" s="91">
        <f>'Key Business Variables'!$C$12*'Key Business Variables'!$C$18</f>
        <v>24</v>
      </c>
      <c r="AD58" s="91">
        <f>'Key Business Variables'!$C$12*'Key Business Variables'!$C$18</f>
        <v>24</v>
      </c>
      <c r="AE58" s="91">
        <f>'Key Business Variables'!$C$12*'Key Business Variables'!$C$18</f>
        <v>24</v>
      </c>
      <c r="AF58" s="91">
        <f>'Key Business Variables'!$C$12*'Key Business Variables'!$C$18</f>
        <v>24</v>
      </c>
      <c r="AG58" s="91">
        <f>'Key Business Variables'!$C$12*'Key Business Variables'!$C$18</f>
        <v>24</v>
      </c>
      <c r="AH58" s="91">
        <f>'Key Business Variables'!$C$12*'Key Business Variables'!$C$18</f>
        <v>24</v>
      </c>
      <c r="AI58" s="91">
        <f>'Key Business Variables'!$C$12*'Key Business Variables'!$C$18</f>
        <v>24</v>
      </c>
      <c r="AJ58" s="91">
        <f>'Key Business Variables'!$C$12*'Key Business Variables'!$C$18</f>
        <v>24</v>
      </c>
      <c r="AK58" s="91">
        <f>'Key Business Variables'!$C$12*'Key Business Variables'!$C$18</f>
        <v>24</v>
      </c>
      <c r="AL58" s="91">
        <f>'Key Business Variables'!$C$12*'Key Business Variables'!$C$18</f>
        <v>24</v>
      </c>
      <c r="AM58" s="91">
        <f>'Key Business Variables'!$C$12*'Key Business Variables'!$C$18</f>
        <v>24</v>
      </c>
      <c r="AN58" s="91">
        <f>'Key Business Variables'!$C$12*'Key Business Variables'!$C$18</f>
        <v>24</v>
      </c>
      <c r="AO58" s="91">
        <f>'Key Business Variables'!$C$12*'Key Business Variables'!$C$18</f>
        <v>24</v>
      </c>
      <c r="AP58" s="91">
        <f>'Key Business Variables'!$C$12*'Key Business Variables'!$C$18</f>
        <v>24</v>
      </c>
      <c r="AQ58" s="91">
        <f>'Key Business Variables'!$C$12*'Key Business Variables'!$C$18</f>
        <v>24</v>
      </c>
      <c r="AR58" s="91">
        <f>'Key Business Variables'!$C$12*'Key Business Variables'!$C$18</f>
        <v>24</v>
      </c>
      <c r="AS58" s="91">
        <f>'Key Business Variables'!$C$12*'Key Business Variables'!$C$18</f>
        <v>24</v>
      </c>
      <c r="AT58" s="91">
        <f>'Key Business Variables'!$C$12*'Key Business Variables'!$C$18</f>
        <v>24</v>
      </c>
      <c r="AU58" s="91">
        <f>'Key Business Variables'!$C$12*'Key Business Variables'!$C$18</f>
        <v>24</v>
      </c>
      <c r="AV58" s="91">
        <f>'Key Business Variables'!$C$12*'Key Business Variables'!$C$18</f>
        <v>24</v>
      </c>
      <c r="AW58" s="91">
        <f>'Key Business Variables'!$C$12*'Key Business Variables'!$C$18</f>
        <v>24</v>
      </c>
      <c r="AX58" s="91">
        <f>'Key Business Variables'!$C$12*'Key Business Variables'!$C$18</f>
        <v>24</v>
      </c>
    </row>
    <row r="59" spans="2:51" x14ac:dyDescent="0.6">
      <c r="B59" s="51" t="s">
        <v>22</v>
      </c>
      <c r="C59" s="91">
        <f>('Key Business Variables'!$C$11+'Key Business Variables'!$C$12)*'Key Business Variables'!$C$19*'Key Business Variables'!$C$42/100</f>
        <v>0</v>
      </c>
      <c r="D59" s="91">
        <f>('Key Business Variables'!$C$11+'Key Business Variables'!$C$12)*'Key Business Variables'!$C$19*'Key Business Variables'!$C$42/100</f>
        <v>0</v>
      </c>
      <c r="E59" s="91">
        <f>('Key Business Variables'!$C$11+'Key Business Variables'!$C$12)*'Key Business Variables'!$C$19*'Key Business Variables'!$C$42/100</f>
        <v>0</v>
      </c>
      <c r="F59" s="91">
        <f>('Key Business Variables'!$C$11+'Key Business Variables'!$C$12)*'Key Business Variables'!$C$19*'Key Business Variables'!$C$42/100</f>
        <v>0</v>
      </c>
      <c r="G59" s="91">
        <f>('Key Business Variables'!$C$11+'Key Business Variables'!$C$12)*'Key Business Variables'!$C$19*'Key Business Variables'!$C$42/100</f>
        <v>0</v>
      </c>
      <c r="H59" s="91">
        <f>('Key Business Variables'!$C$11+'Key Business Variables'!$C$12)*'Key Business Variables'!$C$19*'Key Business Variables'!$C$42/100</f>
        <v>0</v>
      </c>
      <c r="I59" s="91">
        <f>('Key Business Variables'!$C$11+'Key Business Variables'!$C$12)*'Key Business Variables'!$C$19*'Key Business Variables'!$C$42/100</f>
        <v>0</v>
      </c>
      <c r="J59" s="91">
        <f>('Key Business Variables'!$C$11+'Key Business Variables'!$C$12)*'Key Business Variables'!$C$19*'Key Business Variables'!$C$42/100</f>
        <v>0</v>
      </c>
      <c r="K59" s="91">
        <f>('Key Business Variables'!$C$11+'Key Business Variables'!$C$12)*'Key Business Variables'!$C$19*'Key Business Variables'!$C$42/100</f>
        <v>0</v>
      </c>
      <c r="L59" s="91">
        <f>('Key Business Variables'!$C$11+'Key Business Variables'!$C$12)*'Key Business Variables'!$C$19*'Key Business Variables'!$C$42/100</f>
        <v>0</v>
      </c>
      <c r="M59" s="91">
        <f>('Key Business Variables'!$C$11+'Key Business Variables'!$C$12)*'Key Business Variables'!$C$19*'Key Business Variables'!$C$42/100</f>
        <v>0</v>
      </c>
      <c r="N59" s="91">
        <f>('Key Business Variables'!$C$11+'Key Business Variables'!$C$12)*'Key Business Variables'!$C$19*'Key Business Variables'!$C$42/100</f>
        <v>0</v>
      </c>
      <c r="O59" s="91">
        <f>('Key Business Variables'!$C$11+'Key Business Variables'!$C$12)*'Key Business Variables'!$C$19*'Key Business Variables'!$C$42/100</f>
        <v>0</v>
      </c>
      <c r="P59" s="91">
        <f>('Key Business Variables'!$C$11+'Key Business Variables'!$C$12)*'Key Business Variables'!$C$19*'Key Business Variables'!$C$42/100</f>
        <v>0</v>
      </c>
      <c r="Q59" s="91">
        <f>('Key Business Variables'!$C$11+'Key Business Variables'!$C$12)*'Key Business Variables'!$C$19*'Key Business Variables'!$C$42/100</f>
        <v>0</v>
      </c>
      <c r="R59" s="91">
        <f>('Key Business Variables'!$C$11+'Key Business Variables'!$C$12)*'Key Business Variables'!$C$19*'Key Business Variables'!$C$42/100</f>
        <v>0</v>
      </c>
      <c r="S59" s="91">
        <f>('Key Business Variables'!$C$11+'Key Business Variables'!$C$12)*'Key Business Variables'!$C$19*'Key Business Variables'!$C$42/100</f>
        <v>0</v>
      </c>
      <c r="T59" s="91">
        <f>('Key Business Variables'!$C$11+'Key Business Variables'!$C$12)*'Key Business Variables'!$C$19*'Key Business Variables'!$C$42/100</f>
        <v>0</v>
      </c>
      <c r="U59" s="91">
        <f>('Key Business Variables'!$C$11+'Key Business Variables'!$C$12)*'Key Business Variables'!$C$19*'Key Business Variables'!$C$42/100</f>
        <v>0</v>
      </c>
      <c r="V59" s="91">
        <f>('Key Business Variables'!$C$11+'Key Business Variables'!$C$12)*'Key Business Variables'!$C$19*'Key Business Variables'!$C$42/100</f>
        <v>0</v>
      </c>
      <c r="W59" s="91">
        <f>('Key Business Variables'!$C$11+'Key Business Variables'!$C$12)*'Key Business Variables'!$C$19*'Key Business Variables'!$C$42/100</f>
        <v>0</v>
      </c>
      <c r="X59" s="91">
        <f>('Key Business Variables'!$C$11+'Key Business Variables'!$C$12)*'Key Business Variables'!$C$19*'Key Business Variables'!$C$42/100</f>
        <v>0</v>
      </c>
      <c r="Y59" s="91">
        <f>('Key Business Variables'!$C$11+'Key Business Variables'!$C$12)*'Key Business Variables'!$C$19*'Key Business Variables'!$C$42/100</f>
        <v>0</v>
      </c>
      <c r="Z59" s="91">
        <f>('Key Business Variables'!$C$11+'Key Business Variables'!$C$12)*'Key Business Variables'!$C$19*'Key Business Variables'!$C$42/100</f>
        <v>0</v>
      </c>
      <c r="AA59" s="91">
        <f>('Key Business Variables'!$C$11+'Key Business Variables'!$C$12)*'Key Business Variables'!$C$19*'Key Business Variables'!$C$42/100</f>
        <v>0</v>
      </c>
      <c r="AB59" s="91">
        <f>('Key Business Variables'!$C$11+'Key Business Variables'!$C$12)*'Key Business Variables'!$C$19*'Key Business Variables'!$C$42/100</f>
        <v>0</v>
      </c>
      <c r="AC59" s="91">
        <f>('Key Business Variables'!$C$11+'Key Business Variables'!$C$12)*'Key Business Variables'!$C$19*'Key Business Variables'!$C$42/100</f>
        <v>0</v>
      </c>
      <c r="AD59" s="91">
        <f>('Key Business Variables'!$C$11+'Key Business Variables'!$C$12)*'Key Business Variables'!$C$19*'Key Business Variables'!$C$42/100</f>
        <v>0</v>
      </c>
      <c r="AE59" s="91">
        <f>('Key Business Variables'!$C$11+'Key Business Variables'!$C$12)*'Key Business Variables'!$C$19*'Key Business Variables'!$C$42/100</f>
        <v>0</v>
      </c>
      <c r="AF59" s="91">
        <f>('Key Business Variables'!$C$11+'Key Business Variables'!$C$12)*'Key Business Variables'!$C$19*'Key Business Variables'!$C$42/100</f>
        <v>0</v>
      </c>
      <c r="AG59" s="91">
        <f>('Key Business Variables'!$C$11+'Key Business Variables'!$C$12)*'Key Business Variables'!$C$19*'Key Business Variables'!$C$42/100</f>
        <v>0</v>
      </c>
      <c r="AH59" s="91">
        <f>('Key Business Variables'!$C$11+'Key Business Variables'!$C$12)*'Key Business Variables'!$C$19*'Key Business Variables'!$C$42/100</f>
        <v>0</v>
      </c>
      <c r="AI59" s="91">
        <f>('Key Business Variables'!$C$11+'Key Business Variables'!$C$12)*'Key Business Variables'!$C$19*'Key Business Variables'!$C$42/100</f>
        <v>0</v>
      </c>
      <c r="AJ59" s="91">
        <f>('Key Business Variables'!$C$11+'Key Business Variables'!$C$12)*'Key Business Variables'!$C$19*'Key Business Variables'!$C$42/100</f>
        <v>0</v>
      </c>
      <c r="AK59" s="91">
        <f>('Key Business Variables'!$C$11+'Key Business Variables'!$C$12)*'Key Business Variables'!$C$19*'Key Business Variables'!$C$42/100</f>
        <v>0</v>
      </c>
      <c r="AL59" s="91">
        <f>('Key Business Variables'!$C$11+'Key Business Variables'!$C$12)*'Key Business Variables'!$C$19*'Key Business Variables'!$C$42/100</f>
        <v>0</v>
      </c>
      <c r="AM59" s="91">
        <f>('Key Business Variables'!$C$11+'Key Business Variables'!$C$12)*'Key Business Variables'!$C$19*'Key Business Variables'!$C$42/100</f>
        <v>0</v>
      </c>
      <c r="AN59" s="91">
        <f>('Key Business Variables'!$C$11+'Key Business Variables'!$C$12)*'Key Business Variables'!$C$19*'Key Business Variables'!$C$42/100</f>
        <v>0</v>
      </c>
      <c r="AO59" s="91">
        <f>('Key Business Variables'!$C$11+'Key Business Variables'!$C$12)*'Key Business Variables'!$C$19*'Key Business Variables'!$C$42/100</f>
        <v>0</v>
      </c>
      <c r="AP59" s="91">
        <f>('Key Business Variables'!$C$11+'Key Business Variables'!$C$12)*'Key Business Variables'!$C$19*'Key Business Variables'!$C$42/100</f>
        <v>0</v>
      </c>
      <c r="AQ59" s="91">
        <f>('Key Business Variables'!$C$11+'Key Business Variables'!$C$12)*'Key Business Variables'!$C$19*'Key Business Variables'!$C$42/100</f>
        <v>0</v>
      </c>
      <c r="AR59" s="91">
        <f>('Key Business Variables'!$C$11+'Key Business Variables'!$C$12)*'Key Business Variables'!$C$19*'Key Business Variables'!$C$42/100</f>
        <v>0</v>
      </c>
      <c r="AS59" s="91">
        <f>('Key Business Variables'!$C$11+'Key Business Variables'!$C$12)*'Key Business Variables'!$C$19*'Key Business Variables'!$C$42/100</f>
        <v>0</v>
      </c>
      <c r="AT59" s="91">
        <f>('Key Business Variables'!$C$11+'Key Business Variables'!$C$12)*'Key Business Variables'!$C$19*'Key Business Variables'!$C$42/100</f>
        <v>0</v>
      </c>
      <c r="AU59" s="91">
        <f>('Key Business Variables'!$C$11+'Key Business Variables'!$C$12)*'Key Business Variables'!$C$19*'Key Business Variables'!$C$42/100</f>
        <v>0</v>
      </c>
      <c r="AV59" s="91">
        <f>('Key Business Variables'!$C$11+'Key Business Variables'!$C$12)*'Key Business Variables'!$C$19*'Key Business Variables'!$C$42/100</f>
        <v>0</v>
      </c>
      <c r="AW59" s="91">
        <f>('Key Business Variables'!$C$11+'Key Business Variables'!$C$12)*'Key Business Variables'!$C$19*'Key Business Variables'!$C$42/100</f>
        <v>0</v>
      </c>
      <c r="AX59" s="91">
        <f>('Key Business Variables'!$C$11+'Key Business Variables'!$C$12)*'Key Business Variables'!$C$19*'Key Business Variables'!$C$42/100</f>
        <v>0</v>
      </c>
    </row>
    <row r="60" spans="2:51" x14ac:dyDescent="0.6">
      <c r="B60" s="51" t="s">
        <v>123</v>
      </c>
      <c r="C60" s="91">
        <f>('Key Business Variables'!$C$11+'Key Business Variables'!$C$12)*'Key Business Variables'!$C$20*'Key Business Variables'!$C$43/100</f>
        <v>0</v>
      </c>
      <c r="D60" s="91">
        <f>('Key Business Variables'!$C$11+'Key Business Variables'!$C$12)*'Key Business Variables'!$C$20*'Key Business Variables'!$C$43/100</f>
        <v>0</v>
      </c>
      <c r="E60" s="91">
        <f>('Key Business Variables'!$C$11+'Key Business Variables'!$C$12)*'Key Business Variables'!$C$20*'Key Business Variables'!$C$43/100</f>
        <v>0</v>
      </c>
      <c r="F60" s="91">
        <f>('Key Business Variables'!$C$11+'Key Business Variables'!$C$12)*'Key Business Variables'!$C$20*'Key Business Variables'!$C$43/100</f>
        <v>0</v>
      </c>
      <c r="G60" s="91">
        <f>('Key Business Variables'!$C$11+'Key Business Variables'!$C$12)*'Key Business Variables'!$C$20*'Key Business Variables'!$C$43/100</f>
        <v>0</v>
      </c>
      <c r="H60" s="91">
        <f>('Key Business Variables'!$C$11+'Key Business Variables'!$C$12)*'Key Business Variables'!$C$20*'Key Business Variables'!$C$43/100</f>
        <v>0</v>
      </c>
      <c r="I60" s="91">
        <f>('Key Business Variables'!$C$11+'Key Business Variables'!$C$12)*'Key Business Variables'!$C$20*'Key Business Variables'!$C$43/100</f>
        <v>0</v>
      </c>
      <c r="J60" s="91">
        <f>('Key Business Variables'!$C$11+'Key Business Variables'!$C$12)*'Key Business Variables'!$C$20*'Key Business Variables'!$C$43/100</f>
        <v>0</v>
      </c>
      <c r="K60" s="91">
        <f>('Key Business Variables'!$C$11+'Key Business Variables'!$C$12)*'Key Business Variables'!$C$20*'Key Business Variables'!$C$43/100</f>
        <v>0</v>
      </c>
      <c r="L60" s="91">
        <f>('Key Business Variables'!$C$11+'Key Business Variables'!$C$12)*'Key Business Variables'!$C$20*'Key Business Variables'!$C$43/100</f>
        <v>0</v>
      </c>
      <c r="M60" s="91">
        <f>('Key Business Variables'!$C$11+'Key Business Variables'!$C$12)*'Key Business Variables'!$C$20*'Key Business Variables'!$C$43/100</f>
        <v>0</v>
      </c>
      <c r="N60" s="91">
        <f>('Key Business Variables'!$C$11+'Key Business Variables'!$C$12)*'Key Business Variables'!$C$20*'Key Business Variables'!$C$43/100</f>
        <v>0</v>
      </c>
      <c r="O60" s="91">
        <f>('Key Business Variables'!$C$11+'Key Business Variables'!$C$12)*'Key Business Variables'!$C$20*'Key Business Variables'!$C$43/100</f>
        <v>0</v>
      </c>
      <c r="P60" s="91">
        <f>('Key Business Variables'!$C$11+'Key Business Variables'!$C$12)*'Key Business Variables'!$C$20*'Key Business Variables'!$C$43/100</f>
        <v>0</v>
      </c>
      <c r="Q60" s="91">
        <f>('Key Business Variables'!$C$11+'Key Business Variables'!$C$12)*'Key Business Variables'!$C$20*'Key Business Variables'!$C$43/100</f>
        <v>0</v>
      </c>
      <c r="R60" s="91">
        <f>('Key Business Variables'!$C$11+'Key Business Variables'!$C$12)*'Key Business Variables'!$C$20*'Key Business Variables'!$C$43/100</f>
        <v>0</v>
      </c>
      <c r="S60" s="91">
        <f>('Key Business Variables'!$C$11+'Key Business Variables'!$C$12)*'Key Business Variables'!$C$20*'Key Business Variables'!$C$43/100</f>
        <v>0</v>
      </c>
      <c r="T60" s="91">
        <f>('Key Business Variables'!$C$11+'Key Business Variables'!$C$12)*'Key Business Variables'!$C$20*'Key Business Variables'!$C$43/100</f>
        <v>0</v>
      </c>
      <c r="U60" s="91">
        <f>('Key Business Variables'!$C$11+'Key Business Variables'!$C$12)*'Key Business Variables'!$C$20*'Key Business Variables'!$C$43/100</f>
        <v>0</v>
      </c>
      <c r="V60" s="91">
        <f>('Key Business Variables'!$C$11+'Key Business Variables'!$C$12)*'Key Business Variables'!$C$20*'Key Business Variables'!$C$43/100</f>
        <v>0</v>
      </c>
      <c r="W60" s="91">
        <f>('Key Business Variables'!$C$11+'Key Business Variables'!$C$12)*'Key Business Variables'!$C$20*'Key Business Variables'!$C$43/100</f>
        <v>0</v>
      </c>
      <c r="X60" s="91">
        <f>('Key Business Variables'!$C$11+'Key Business Variables'!$C$12)*'Key Business Variables'!$C$20*'Key Business Variables'!$C$43/100</f>
        <v>0</v>
      </c>
      <c r="Y60" s="91">
        <f>('Key Business Variables'!$C$11+'Key Business Variables'!$C$12)*'Key Business Variables'!$C$20*'Key Business Variables'!$C$43/100</f>
        <v>0</v>
      </c>
      <c r="Z60" s="91">
        <f>('Key Business Variables'!$C$11+'Key Business Variables'!$C$12)*'Key Business Variables'!$C$20*'Key Business Variables'!$C$43/100</f>
        <v>0</v>
      </c>
      <c r="AA60" s="91">
        <f>('Key Business Variables'!$C$11+'Key Business Variables'!$C$12)*'Key Business Variables'!$C$20*'Key Business Variables'!$C$43/100</f>
        <v>0</v>
      </c>
      <c r="AB60" s="91">
        <f>('Key Business Variables'!$C$11+'Key Business Variables'!$C$12)*'Key Business Variables'!$C$20*'Key Business Variables'!$C$43/100</f>
        <v>0</v>
      </c>
      <c r="AC60" s="91">
        <f>('Key Business Variables'!$C$11+'Key Business Variables'!$C$12)*'Key Business Variables'!$C$20*'Key Business Variables'!$C$43/100</f>
        <v>0</v>
      </c>
      <c r="AD60" s="91">
        <f>('Key Business Variables'!$C$11+'Key Business Variables'!$C$12)*'Key Business Variables'!$C$20*'Key Business Variables'!$C$43/100</f>
        <v>0</v>
      </c>
      <c r="AE60" s="91">
        <f>('Key Business Variables'!$C$11+'Key Business Variables'!$C$12)*'Key Business Variables'!$C$20*'Key Business Variables'!$C$43/100</f>
        <v>0</v>
      </c>
      <c r="AF60" s="91">
        <f>('Key Business Variables'!$C$11+'Key Business Variables'!$C$12)*'Key Business Variables'!$C$20*'Key Business Variables'!$C$43/100</f>
        <v>0</v>
      </c>
      <c r="AG60" s="91">
        <f>('Key Business Variables'!$C$11+'Key Business Variables'!$C$12)*'Key Business Variables'!$C$20*'Key Business Variables'!$C$43/100</f>
        <v>0</v>
      </c>
      <c r="AH60" s="91">
        <f>('Key Business Variables'!$C$11+'Key Business Variables'!$C$12)*'Key Business Variables'!$C$20*'Key Business Variables'!$C$43/100</f>
        <v>0</v>
      </c>
      <c r="AI60" s="91">
        <f>('Key Business Variables'!$C$11+'Key Business Variables'!$C$12)*'Key Business Variables'!$C$20*'Key Business Variables'!$C$43/100</f>
        <v>0</v>
      </c>
      <c r="AJ60" s="91">
        <f>('Key Business Variables'!$C$11+'Key Business Variables'!$C$12)*'Key Business Variables'!$C$20*'Key Business Variables'!$C$43/100</f>
        <v>0</v>
      </c>
      <c r="AK60" s="91">
        <f>('Key Business Variables'!$C$11+'Key Business Variables'!$C$12)*'Key Business Variables'!$C$20*'Key Business Variables'!$C$43/100</f>
        <v>0</v>
      </c>
      <c r="AL60" s="91">
        <f>('Key Business Variables'!$C$11+'Key Business Variables'!$C$12)*'Key Business Variables'!$C$20*'Key Business Variables'!$C$43/100</f>
        <v>0</v>
      </c>
      <c r="AM60" s="91">
        <f>('Key Business Variables'!$C$11+'Key Business Variables'!$C$12)*'Key Business Variables'!$C$20*'Key Business Variables'!$C$43/100</f>
        <v>0</v>
      </c>
      <c r="AN60" s="91">
        <f>('Key Business Variables'!$C$11+'Key Business Variables'!$C$12)*'Key Business Variables'!$C$20*'Key Business Variables'!$C$43/100</f>
        <v>0</v>
      </c>
      <c r="AO60" s="91">
        <f>('Key Business Variables'!$C$11+'Key Business Variables'!$C$12)*'Key Business Variables'!$C$20*'Key Business Variables'!$C$43/100</f>
        <v>0</v>
      </c>
      <c r="AP60" s="91">
        <f>('Key Business Variables'!$C$11+'Key Business Variables'!$C$12)*'Key Business Variables'!$C$20*'Key Business Variables'!$C$43/100</f>
        <v>0</v>
      </c>
      <c r="AQ60" s="91">
        <f>('Key Business Variables'!$C$11+'Key Business Variables'!$C$12)*'Key Business Variables'!$C$20*'Key Business Variables'!$C$43/100</f>
        <v>0</v>
      </c>
      <c r="AR60" s="91">
        <f>('Key Business Variables'!$C$11+'Key Business Variables'!$C$12)*'Key Business Variables'!$C$20*'Key Business Variables'!$C$43/100</f>
        <v>0</v>
      </c>
      <c r="AS60" s="91">
        <f>('Key Business Variables'!$C$11+'Key Business Variables'!$C$12)*'Key Business Variables'!$C$20*'Key Business Variables'!$C$43/100</f>
        <v>0</v>
      </c>
      <c r="AT60" s="91">
        <f>('Key Business Variables'!$C$11+'Key Business Variables'!$C$12)*'Key Business Variables'!$C$20*'Key Business Variables'!$C$43/100</f>
        <v>0</v>
      </c>
      <c r="AU60" s="91">
        <f>('Key Business Variables'!$C$11+'Key Business Variables'!$C$12)*'Key Business Variables'!$C$20*'Key Business Variables'!$C$43/100</f>
        <v>0</v>
      </c>
      <c r="AV60" s="91">
        <f>('Key Business Variables'!$C$11+'Key Business Variables'!$C$12)*'Key Business Variables'!$C$20*'Key Business Variables'!$C$43/100</f>
        <v>0</v>
      </c>
      <c r="AW60" s="91">
        <f>('Key Business Variables'!$C$11+'Key Business Variables'!$C$12)*'Key Business Variables'!$C$20*'Key Business Variables'!$C$43/100</f>
        <v>0</v>
      </c>
      <c r="AX60" s="91">
        <f>('Key Business Variables'!$C$11+'Key Business Variables'!$C$12)*'Key Business Variables'!$C$20*'Key Business Variables'!$C$43/100</f>
        <v>0</v>
      </c>
    </row>
    <row r="61" spans="2:51" x14ac:dyDescent="0.6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</row>
    <row r="62" spans="2:51" x14ac:dyDescent="0.6">
      <c r="B62" s="51" t="s">
        <v>155</v>
      </c>
      <c r="C62" s="109">
        <f>C56</f>
        <v>18000</v>
      </c>
      <c r="D62" s="109">
        <f>C62+D56</f>
        <v>18000</v>
      </c>
      <c r="E62" s="109">
        <f t="shared" ref="E62:AX62" si="3">D62+E56</f>
        <v>18000</v>
      </c>
      <c r="F62" s="109">
        <f t="shared" si="3"/>
        <v>18000</v>
      </c>
      <c r="G62" s="109">
        <f t="shared" si="3"/>
        <v>18000</v>
      </c>
      <c r="H62" s="109">
        <f t="shared" si="3"/>
        <v>18000</v>
      </c>
      <c r="I62" s="109">
        <f t="shared" si="3"/>
        <v>18000</v>
      </c>
      <c r="J62" s="109">
        <f t="shared" si="3"/>
        <v>18000</v>
      </c>
      <c r="K62" s="109">
        <f t="shared" si="3"/>
        <v>18000</v>
      </c>
      <c r="L62" s="109">
        <f t="shared" si="3"/>
        <v>18000</v>
      </c>
      <c r="M62" s="109">
        <f t="shared" si="3"/>
        <v>18000</v>
      </c>
      <c r="N62" s="109">
        <f t="shared" si="3"/>
        <v>18000</v>
      </c>
      <c r="O62" s="109">
        <f t="shared" si="3"/>
        <v>18240</v>
      </c>
      <c r="P62" s="109">
        <f t="shared" si="3"/>
        <v>18480</v>
      </c>
      <c r="Q62" s="109">
        <f t="shared" si="3"/>
        <v>18720</v>
      </c>
      <c r="R62" s="109">
        <f t="shared" si="3"/>
        <v>18960</v>
      </c>
      <c r="S62" s="109">
        <f t="shared" si="3"/>
        <v>19200</v>
      </c>
      <c r="T62" s="109">
        <f t="shared" si="3"/>
        <v>19440</v>
      </c>
      <c r="U62" s="109">
        <f t="shared" si="3"/>
        <v>19680</v>
      </c>
      <c r="V62" s="109">
        <f t="shared" si="3"/>
        <v>19920</v>
      </c>
      <c r="W62" s="109">
        <f t="shared" si="3"/>
        <v>20160</v>
      </c>
      <c r="X62" s="109">
        <f t="shared" si="3"/>
        <v>20400</v>
      </c>
      <c r="Y62" s="109">
        <f t="shared" si="3"/>
        <v>20640</v>
      </c>
      <c r="Z62" s="109">
        <f t="shared" si="3"/>
        <v>20880</v>
      </c>
      <c r="AA62" s="109">
        <f t="shared" si="3"/>
        <v>21120</v>
      </c>
      <c r="AB62" s="109">
        <f t="shared" si="3"/>
        <v>21360</v>
      </c>
      <c r="AC62" s="109">
        <f t="shared" si="3"/>
        <v>21600</v>
      </c>
      <c r="AD62" s="109">
        <f t="shared" si="3"/>
        <v>21840</v>
      </c>
      <c r="AE62" s="109">
        <f t="shared" si="3"/>
        <v>22080</v>
      </c>
      <c r="AF62" s="109">
        <f t="shared" si="3"/>
        <v>22320</v>
      </c>
      <c r="AG62" s="109">
        <f t="shared" si="3"/>
        <v>22560</v>
      </c>
      <c r="AH62" s="109">
        <f t="shared" si="3"/>
        <v>22800</v>
      </c>
      <c r="AI62" s="109">
        <f t="shared" si="3"/>
        <v>23040</v>
      </c>
      <c r="AJ62" s="109">
        <f t="shared" si="3"/>
        <v>23280</v>
      </c>
      <c r="AK62" s="109">
        <f t="shared" si="3"/>
        <v>23520</v>
      </c>
      <c r="AL62" s="109">
        <f t="shared" si="3"/>
        <v>23760</v>
      </c>
      <c r="AM62" s="109">
        <f t="shared" si="3"/>
        <v>24000</v>
      </c>
      <c r="AN62" s="109">
        <f t="shared" si="3"/>
        <v>24240</v>
      </c>
      <c r="AO62" s="109">
        <f t="shared" si="3"/>
        <v>24480</v>
      </c>
      <c r="AP62" s="109">
        <f t="shared" si="3"/>
        <v>24720</v>
      </c>
      <c r="AQ62" s="109">
        <f t="shared" si="3"/>
        <v>24960</v>
      </c>
      <c r="AR62" s="109">
        <f t="shared" si="3"/>
        <v>25200</v>
      </c>
      <c r="AS62" s="109">
        <f t="shared" si="3"/>
        <v>25440</v>
      </c>
      <c r="AT62" s="109">
        <f t="shared" si="3"/>
        <v>25680</v>
      </c>
      <c r="AU62" s="109">
        <f t="shared" si="3"/>
        <v>25920</v>
      </c>
      <c r="AV62" s="109">
        <f t="shared" si="3"/>
        <v>26160</v>
      </c>
      <c r="AW62" s="109">
        <f t="shared" si="3"/>
        <v>26400</v>
      </c>
      <c r="AX62" s="109">
        <f t="shared" si="3"/>
        <v>26640</v>
      </c>
    </row>
    <row r="63" spans="2:51" x14ac:dyDescent="0.6">
      <c r="B63" s="51" t="s">
        <v>156</v>
      </c>
      <c r="C63" s="109">
        <f>SUM(C57:C60)</f>
        <v>444</v>
      </c>
      <c r="D63" s="109">
        <f>C63+SUM(D57:D60)</f>
        <v>888</v>
      </c>
      <c r="E63" s="109">
        <f t="shared" ref="E63:AX63" si="4">D63+SUM(E57:E60)</f>
        <v>1332</v>
      </c>
      <c r="F63" s="109">
        <f t="shared" si="4"/>
        <v>1776</v>
      </c>
      <c r="G63" s="109">
        <f t="shared" si="4"/>
        <v>2220</v>
      </c>
      <c r="H63" s="109">
        <f t="shared" si="4"/>
        <v>2664</v>
      </c>
      <c r="I63" s="109">
        <f t="shared" si="4"/>
        <v>3108</v>
      </c>
      <c r="J63" s="109">
        <f t="shared" si="4"/>
        <v>3552</v>
      </c>
      <c r="K63" s="109">
        <f t="shared" si="4"/>
        <v>3996</v>
      </c>
      <c r="L63" s="109">
        <f t="shared" si="4"/>
        <v>4440</v>
      </c>
      <c r="M63" s="109">
        <f t="shared" si="4"/>
        <v>4884</v>
      </c>
      <c r="N63" s="109">
        <f t="shared" si="4"/>
        <v>5328</v>
      </c>
      <c r="O63" s="109">
        <f t="shared" si="4"/>
        <v>5772</v>
      </c>
      <c r="P63" s="109">
        <f t="shared" si="4"/>
        <v>6216</v>
      </c>
      <c r="Q63" s="109">
        <f t="shared" si="4"/>
        <v>6660</v>
      </c>
      <c r="R63" s="109">
        <f t="shared" si="4"/>
        <v>7104</v>
      </c>
      <c r="S63" s="109">
        <f t="shared" si="4"/>
        <v>7548</v>
      </c>
      <c r="T63" s="109">
        <f t="shared" si="4"/>
        <v>7992</v>
      </c>
      <c r="U63" s="109">
        <f t="shared" si="4"/>
        <v>8436</v>
      </c>
      <c r="V63" s="109">
        <f t="shared" si="4"/>
        <v>8880</v>
      </c>
      <c r="W63" s="109">
        <f t="shared" si="4"/>
        <v>9324</v>
      </c>
      <c r="X63" s="109">
        <f t="shared" si="4"/>
        <v>9768</v>
      </c>
      <c r="Y63" s="109">
        <f t="shared" si="4"/>
        <v>10212</v>
      </c>
      <c r="Z63" s="109">
        <f t="shared" si="4"/>
        <v>10656</v>
      </c>
      <c r="AA63" s="109">
        <f t="shared" si="4"/>
        <v>11100</v>
      </c>
      <c r="AB63" s="109">
        <f t="shared" si="4"/>
        <v>11544</v>
      </c>
      <c r="AC63" s="109">
        <f t="shared" si="4"/>
        <v>11988</v>
      </c>
      <c r="AD63" s="109">
        <f t="shared" si="4"/>
        <v>12432</v>
      </c>
      <c r="AE63" s="109">
        <f t="shared" si="4"/>
        <v>12876</v>
      </c>
      <c r="AF63" s="109">
        <f t="shared" si="4"/>
        <v>13320</v>
      </c>
      <c r="AG63" s="109">
        <f t="shared" si="4"/>
        <v>13764</v>
      </c>
      <c r="AH63" s="109">
        <f t="shared" si="4"/>
        <v>14208</v>
      </c>
      <c r="AI63" s="109">
        <f t="shared" si="4"/>
        <v>14652</v>
      </c>
      <c r="AJ63" s="109">
        <f t="shared" si="4"/>
        <v>15096</v>
      </c>
      <c r="AK63" s="109">
        <f t="shared" si="4"/>
        <v>15540</v>
      </c>
      <c r="AL63" s="109">
        <f t="shared" si="4"/>
        <v>15984</v>
      </c>
      <c r="AM63" s="109">
        <f t="shared" si="4"/>
        <v>16428</v>
      </c>
      <c r="AN63" s="109">
        <f t="shared" si="4"/>
        <v>16872</v>
      </c>
      <c r="AO63" s="109">
        <f t="shared" si="4"/>
        <v>17316</v>
      </c>
      <c r="AP63" s="109">
        <f t="shared" si="4"/>
        <v>17760</v>
      </c>
      <c r="AQ63" s="109">
        <f t="shared" si="4"/>
        <v>18204</v>
      </c>
      <c r="AR63" s="109">
        <f t="shared" si="4"/>
        <v>18648</v>
      </c>
      <c r="AS63" s="109">
        <f t="shared" si="4"/>
        <v>19092</v>
      </c>
      <c r="AT63" s="109">
        <f t="shared" si="4"/>
        <v>19536</v>
      </c>
      <c r="AU63" s="109">
        <f t="shared" si="4"/>
        <v>19980</v>
      </c>
      <c r="AV63" s="109">
        <f t="shared" si="4"/>
        <v>20424</v>
      </c>
      <c r="AW63" s="109">
        <f t="shared" si="4"/>
        <v>20868</v>
      </c>
      <c r="AX63" s="109">
        <f t="shared" si="4"/>
        <v>21312</v>
      </c>
    </row>
  </sheetData>
  <sheetProtection algorithmName="SHA-512" hashValue="sTr8euZyFvUAUEtUc09XFjzCoIPuWoYqrK8RQrvFRWRf7NDYXi0u5VAnmPOoi4CtWhT9Cjewfeox04SIhJRRwA==" saltValue="xLom4y1+17XMZsMCwkFh4w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2C5CD-00A5-4B64-931F-A44AC10C655C}">
  <dimension ref="C33:G43"/>
  <sheetViews>
    <sheetView showGridLines="0" workbookViewId="0">
      <selection activeCell="K40" sqref="K40"/>
    </sheetView>
  </sheetViews>
  <sheetFormatPr defaultColWidth="9.06640625" defaultRowHeight="16.5" x14ac:dyDescent="0.6"/>
  <cols>
    <col min="1" max="16384" width="9.06640625" style="51"/>
  </cols>
  <sheetData>
    <row r="33" spans="3:7" x14ac:dyDescent="0.6">
      <c r="E33" s="51" t="s">
        <v>192</v>
      </c>
    </row>
    <row r="34" spans="3:7" x14ac:dyDescent="0.6">
      <c r="D34" s="51" t="s">
        <v>7</v>
      </c>
      <c r="E34" s="51" t="s">
        <v>4</v>
      </c>
      <c r="F34" s="51" t="s">
        <v>5</v>
      </c>
      <c r="G34" s="51" t="s">
        <v>6</v>
      </c>
    </row>
    <row r="35" spans="3:7" x14ac:dyDescent="0.6">
      <c r="C35" s="56" t="s">
        <v>217</v>
      </c>
      <c r="D35" s="91">
        <f>'Core Calculations'!L78</f>
        <v>13788</v>
      </c>
      <c r="E35" s="91">
        <f>'Core Calculations'!M78</f>
        <v>19116</v>
      </c>
      <c r="F35" s="91">
        <f>'Core Calculations'!N78</f>
        <v>24444</v>
      </c>
      <c r="G35" s="91">
        <f>'Core Calculations'!O78</f>
        <v>29772</v>
      </c>
    </row>
    <row r="36" spans="3:7" x14ac:dyDescent="0.6">
      <c r="C36" s="56" t="s">
        <v>212</v>
      </c>
      <c r="D36" s="91">
        <f>'Core Calculations'!L79</f>
        <v>6729.1733333333323</v>
      </c>
      <c r="E36" s="91">
        <f>'Core Calculations'!M79</f>
        <v>8665.0133333333324</v>
      </c>
      <c r="F36" s="91">
        <f>'Core Calculations'!N79</f>
        <v>10600.853333333333</v>
      </c>
      <c r="G36" s="91">
        <f>'Core Calculations'!O79</f>
        <v>12536.693333333333</v>
      </c>
    </row>
    <row r="37" spans="3:7" x14ac:dyDescent="0.6">
      <c r="C37" s="56"/>
      <c r="D37" s="197">
        <f>D36/D35</f>
        <v>0.48804564355478186</v>
      </c>
      <c r="E37" s="197">
        <f t="shared" ref="E37:G37" si="0">E36/E35</f>
        <v>0.4532859036060542</v>
      </c>
      <c r="F37" s="197">
        <f t="shared" si="0"/>
        <v>0.43367915780286909</v>
      </c>
      <c r="G37" s="197">
        <f t="shared" si="0"/>
        <v>0.42109006225088447</v>
      </c>
    </row>
    <row r="38" spans="3:7" x14ac:dyDescent="0.6">
      <c r="C38" s="56"/>
    </row>
    <row r="39" spans="3:7" x14ac:dyDescent="0.6">
      <c r="C39" s="56"/>
      <c r="E39" s="51" t="s">
        <v>191</v>
      </c>
    </row>
    <row r="40" spans="3:7" x14ac:dyDescent="0.6">
      <c r="C40" s="56"/>
      <c r="D40" s="51" t="s">
        <v>7</v>
      </c>
      <c r="E40" s="51" t="s">
        <v>4</v>
      </c>
      <c r="F40" s="51" t="s">
        <v>5</v>
      </c>
      <c r="G40" s="51" t="s">
        <v>6</v>
      </c>
    </row>
    <row r="41" spans="3:7" x14ac:dyDescent="0.6">
      <c r="C41" s="56" t="s">
        <v>217</v>
      </c>
      <c r="D41" s="91">
        <f>'Core Calculations'!L89</f>
        <v>7962.239999999998</v>
      </c>
      <c r="E41" s="91">
        <f>'Core Calculations'!M89</f>
        <v>15924.479999999996</v>
      </c>
      <c r="F41" s="91">
        <f>'Core Calculations'!N89</f>
        <v>23886.719999999994</v>
      </c>
      <c r="G41" s="91">
        <f>'Core Calculations'!O89</f>
        <v>31848.959999999992</v>
      </c>
    </row>
    <row r="42" spans="3:7" x14ac:dyDescent="0.6">
      <c r="C42" s="56" t="s">
        <v>212</v>
      </c>
      <c r="D42" s="91">
        <f>'Core Calculations'!L90</f>
        <v>2892.9471999999987</v>
      </c>
      <c r="E42" s="91">
        <f>'Core Calculations'!M90</f>
        <v>5785.8943999999974</v>
      </c>
      <c r="F42" s="91">
        <f>'Core Calculations'!N90</f>
        <v>8678.8415999999961</v>
      </c>
      <c r="G42" s="91">
        <f>'Core Calculations'!O90</f>
        <v>11571.788799999995</v>
      </c>
    </row>
    <row r="43" spans="3:7" x14ac:dyDescent="0.6">
      <c r="D43" s="197">
        <f>D42/D41</f>
        <v>0.36333333333333329</v>
      </c>
      <c r="E43" s="197">
        <f t="shared" ref="E43:G43" si="1">E42/E41</f>
        <v>0.36333333333333329</v>
      </c>
      <c r="F43" s="197">
        <f t="shared" si="1"/>
        <v>0.36333333333333329</v>
      </c>
      <c r="G43" s="197">
        <f t="shared" si="1"/>
        <v>0.36333333333333329</v>
      </c>
    </row>
  </sheetData>
  <sheetProtection algorithmName="SHA-512" hashValue="Fkeuz78jU1Lm+lC/nqdk9gQNIwidbf5T/fzKPxK1lEyS630O03zGbdtK2fY6XSiCO0cyMEyIjUJlBNPC8qvqaw==" saltValue="Wr4RP5C+zBUEoG9tdiDNnA==" spinCount="100000" sheet="1" objects="1" scenarios="1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5:L57"/>
  <sheetViews>
    <sheetView showGridLines="0" zoomScaleNormal="100" workbookViewId="0">
      <selection activeCell="G29" sqref="G29"/>
    </sheetView>
  </sheetViews>
  <sheetFormatPr defaultColWidth="9.06640625" defaultRowHeight="16.5" x14ac:dyDescent="0.6"/>
  <cols>
    <col min="1" max="1" width="9.06640625" style="1"/>
    <col min="2" max="2" width="30" style="1" customWidth="1"/>
    <col min="3" max="16384" width="9.06640625" style="1"/>
  </cols>
  <sheetData>
    <row r="25" spans="4:12" x14ac:dyDescent="0.6">
      <c r="D25" s="34"/>
    </row>
    <row r="27" spans="4:12" s="146" customFormat="1" x14ac:dyDescent="0.6"/>
    <row r="30" spans="4:12" x14ac:dyDescent="0.6">
      <c r="L30" s="206" t="s">
        <v>225</v>
      </c>
    </row>
    <row r="53" spans="2:6" x14ac:dyDescent="0.6">
      <c r="C53" s="1">
        <v>1</v>
      </c>
      <c r="D53" s="1">
        <v>2</v>
      </c>
      <c r="E53" s="1">
        <v>3</v>
      </c>
      <c r="F53" s="1">
        <v>4</v>
      </c>
    </row>
    <row r="54" spans="2:6" x14ac:dyDescent="0.6">
      <c r="B54" s="1" t="s">
        <v>40</v>
      </c>
      <c r="C54" s="24">
        <f>'Core Calculations'!M7+'Core Calculations'!M8+'Core Calculations'!M13+'Core Calculations'!M14</f>
        <v>186.99999999999997</v>
      </c>
      <c r="D54" s="24">
        <f>'Core Calculations'!Y7+'Core Calculations'!Y8+'Core Calculations'!Y13+'Core Calculations'!Y14</f>
        <v>364.65000000000009</v>
      </c>
      <c r="E54" s="24">
        <f>'Core Calculations'!AK7+'Core Calculations'!AK8+'Core Calculations'!AK13+'Core Calculations'!AK14</f>
        <v>542.3000000000003</v>
      </c>
      <c r="F54" s="24">
        <f>'Core Calculations'!AW7+'Core Calculations'!AW8+'Core Calculations'!AW13+'Core Calculations'!AW14</f>
        <v>719.95000000000039</v>
      </c>
    </row>
    <row r="55" spans="2:6" x14ac:dyDescent="0.6">
      <c r="B55" s="1" t="s">
        <v>25</v>
      </c>
      <c r="C55" s="24">
        <f>'Core Calculations'!M19</f>
        <v>0</v>
      </c>
      <c r="D55" s="24">
        <f>'Core Calculations'!Y19</f>
        <v>0</v>
      </c>
      <c r="E55" s="24">
        <f>'Core Calculations'!AK19</f>
        <v>0</v>
      </c>
      <c r="F55" s="24">
        <f>'Core Calculations'!AW19</f>
        <v>0</v>
      </c>
    </row>
    <row r="56" spans="2:6" x14ac:dyDescent="0.6">
      <c r="B56" s="1" t="s">
        <v>132</v>
      </c>
      <c r="C56" s="24">
        <f>'Core Calculations'!M20</f>
        <v>0</v>
      </c>
      <c r="D56" s="24">
        <f>'Core Calculations'!Y20</f>
        <v>0</v>
      </c>
      <c r="E56" s="24">
        <f>'Core Calculations'!AK20</f>
        <v>0</v>
      </c>
      <c r="F56" s="24">
        <f>'Core Calculations'!AW20</f>
        <v>0</v>
      </c>
    </row>
    <row r="57" spans="2:6" x14ac:dyDescent="0.6">
      <c r="B57" s="1" t="s">
        <v>185</v>
      </c>
      <c r="C57" s="24">
        <f>'Core Calculations'!M21</f>
        <v>0</v>
      </c>
      <c r="D57" s="24">
        <f>'Core Calculations'!Y21</f>
        <v>0</v>
      </c>
      <c r="E57" s="24">
        <f>'Core Calculations'!AK21</f>
        <v>0</v>
      </c>
      <c r="F57" s="24">
        <f>'Core Calculations'!AW21</f>
        <v>0</v>
      </c>
    </row>
  </sheetData>
  <sheetProtection algorithmName="SHA-512" hashValue="pZujas081LUEYd5kA5VNIkzMOmWi4mYyVdC4gx+zRR9O0Q+v/yZvun3vXk3BKNz07RMEzzgaH25zoT3YO0leCw==" saltValue="PJMiSES5bbuAOooFItx2Lg==" spinCount="100000" sheet="1" objects="1" scenarios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R45"/>
  <sheetViews>
    <sheetView showGridLines="0" zoomScale="90" zoomScaleNormal="90" workbookViewId="0">
      <selection activeCell="J15" sqref="J15"/>
    </sheetView>
  </sheetViews>
  <sheetFormatPr defaultColWidth="9.19921875" defaultRowHeight="16.5" x14ac:dyDescent="0.6"/>
  <cols>
    <col min="1" max="1" width="12.06640625" style="1" customWidth="1"/>
    <col min="2" max="2" width="9.19921875" style="1"/>
    <col min="3" max="3" width="5" style="1" customWidth="1"/>
    <col min="4" max="4" width="12" style="1" customWidth="1"/>
    <col min="5" max="5" width="18.796875" style="1" customWidth="1"/>
    <col min="6" max="6" width="16.73046875" style="1" customWidth="1"/>
    <col min="7" max="7" width="9.19921875" style="1" customWidth="1"/>
    <col min="8" max="8" width="16.73046875" style="1" customWidth="1"/>
    <col min="9" max="9" width="9.19921875" style="1"/>
    <col min="10" max="10" width="16.73046875" style="1" customWidth="1"/>
    <col min="11" max="11" width="9.19921875" style="1"/>
    <col min="12" max="12" width="16.73046875" style="1" customWidth="1"/>
    <col min="13" max="13" width="11.265625" style="1" bestFit="1" customWidth="1"/>
    <col min="14" max="14" width="16.73046875" style="1" customWidth="1"/>
    <col min="15" max="15" width="11" style="1" customWidth="1"/>
    <col min="16" max="16" width="5.46484375" style="1" customWidth="1"/>
    <col min="17" max="17" width="11" style="45" bestFit="1" customWidth="1"/>
    <col min="18" max="18" width="35.265625" style="1" customWidth="1"/>
    <col min="19" max="16384" width="9.19921875" style="1"/>
  </cols>
  <sheetData>
    <row r="1" spans="2:17" ht="25.5" customHeight="1" x14ac:dyDescent="0.6">
      <c r="F1" s="253" t="s">
        <v>92</v>
      </c>
      <c r="G1" s="253"/>
      <c r="H1" s="253" t="s">
        <v>7</v>
      </c>
      <c r="I1" s="253"/>
      <c r="J1" s="253" t="s">
        <v>4</v>
      </c>
      <c r="K1" s="253"/>
      <c r="L1" s="253" t="s">
        <v>5</v>
      </c>
      <c r="M1" s="253"/>
      <c r="N1" s="253" t="s">
        <v>6</v>
      </c>
      <c r="O1" s="253"/>
      <c r="Q1" s="1"/>
    </row>
    <row r="2" spans="2:17" ht="33" customHeight="1" x14ac:dyDescent="0.6">
      <c r="F2" s="35"/>
      <c r="G2" s="36" t="s">
        <v>8</v>
      </c>
      <c r="H2" s="35"/>
      <c r="I2" s="36" t="s">
        <v>8</v>
      </c>
      <c r="J2" s="35"/>
      <c r="K2" s="36" t="s">
        <v>8</v>
      </c>
      <c r="L2" s="35"/>
      <c r="M2" s="36" t="s">
        <v>8</v>
      </c>
      <c r="N2" s="35"/>
      <c r="O2" s="36" t="s">
        <v>8</v>
      </c>
      <c r="Q2" s="1"/>
    </row>
    <row r="3" spans="2:17" x14ac:dyDescent="0.6">
      <c r="B3" s="252" t="s">
        <v>18</v>
      </c>
      <c r="C3" s="1" t="s">
        <v>59</v>
      </c>
      <c r="H3" s="37"/>
      <c r="I3" s="17"/>
      <c r="J3" s="37"/>
      <c r="K3" s="17"/>
      <c r="L3" s="37"/>
      <c r="M3" s="17"/>
      <c r="N3" s="37"/>
      <c r="O3" s="17"/>
      <c r="Q3" s="1"/>
    </row>
    <row r="4" spans="2:17" x14ac:dyDescent="0.6">
      <c r="B4" s="252"/>
      <c r="D4" s="1" t="s">
        <v>146</v>
      </c>
      <c r="F4" s="216">
        <v>1000000</v>
      </c>
      <c r="G4" s="47">
        <f>IFERROR(F4/$F$25,0)</f>
        <v>0.15625</v>
      </c>
      <c r="H4" s="213">
        <f>F4*0.95</f>
        <v>950000</v>
      </c>
      <c r="I4" s="39">
        <f>IFERROR(H4/$H$25,0)</f>
        <v>0.14192334275066917</v>
      </c>
      <c r="J4" s="213">
        <f>H4*0.95</f>
        <v>902500</v>
      </c>
      <c r="K4" s="39">
        <f>IFERROR(J4/$J$25,0)</f>
        <v>0.1306618403121842</v>
      </c>
      <c r="L4" s="213">
        <f>J4*0.95</f>
        <v>857375</v>
      </c>
      <c r="M4" s="39">
        <f>IFERROR(L4/$L$25,0)</f>
        <v>0.12053731596863798</v>
      </c>
      <c r="N4" s="213">
        <f>L4*0.95</f>
        <v>814506.25</v>
      </c>
      <c r="O4" s="39">
        <f>IFERROR(N4/$N$25,0)</f>
        <v>0.11136050386001597</v>
      </c>
      <c r="Q4" s="1"/>
    </row>
    <row r="5" spans="2:17" x14ac:dyDescent="0.6">
      <c r="B5" s="252"/>
      <c r="D5" s="1" t="s">
        <v>93</v>
      </c>
      <c r="F5" s="216">
        <v>1400000</v>
      </c>
      <c r="G5" s="47">
        <f>IFERROR(F5/$F$25,0)</f>
        <v>0.21875</v>
      </c>
      <c r="H5" s="213">
        <f>F5+(H4*0.16)</f>
        <v>1552000</v>
      </c>
      <c r="I5" s="39">
        <f>IFERROR(H5/$H$25,0)</f>
        <v>0.23185792415688269</v>
      </c>
      <c r="J5" s="213">
        <f>H5+(J4*0.16)</f>
        <v>1696400</v>
      </c>
      <c r="K5" s="39">
        <f>IFERROR(J5/$J$25,0)</f>
        <v>0.24560082648818754</v>
      </c>
      <c r="L5" s="213">
        <f>J5+(L4*0.16)</f>
        <v>1833580</v>
      </c>
      <c r="M5" s="39">
        <f>IFERROR(L5/$L$25,0)</f>
        <v>0.25778079814990551</v>
      </c>
      <c r="N5" s="213">
        <f>L5+(N4*0.16)</f>
        <v>1963901</v>
      </c>
      <c r="O5" s="39">
        <f>IFERROR(N5/$N$25,0)</f>
        <v>0.2685074606747207</v>
      </c>
      <c r="Q5" s="1"/>
    </row>
    <row r="6" spans="2:17" x14ac:dyDescent="0.6">
      <c r="B6" s="252"/>
      <c r="D6" s="38" t="s">
        <v>130</v>
      </c>
      <c r="E6" s="38"/>
      <c r="F6" s="218">
        <v>0</v>
      </c>
      <c r="G6" s="47">
        <f>IFERROR(F6/$F$25,0)</f>
        <v>0</v>
      </c>
      <c r="H6" s="213">
        <f>'Core Calculations'!B59</f>
        <v>64854.400000000001</v>
      </c>
      <c r="I6" s="39">
        <f>IFERROR(H6/$H$25,0)</f>
        <v>9.6887928843042096E-3</v>
      </c>
      <c r="J6" s="213">
        <f>'Core Calculations'!C59</f>
        <v>181342.88</v>
      </c>
      <c r="K6" s="39">
        <f>IFERROR(J6/$J$25,0)</f>
        <v>2.6254398258516987E-2</v>
      </c>
      <c r="L6" s="213">
        <f>'Core Calculations'!D59</f>
        <v>295087.52000000019</v>
      </c>
      <c r="M6" s="39">
        <f>IFERROR(L6/$L$25,0)</f>
        <v>4.1485998118258406E-2</v>
      </c>
      <c r="N6" s="213">
        <f>'Core Calculations'!E59</f>
        <v>408832.16000000038</v>
      </c>
      <c r="O6" s="39">
        <f>IFERROR(N6/$N$25,0)</f>
        <v>5.5896139939722637E-2</v>
      </c>
      <c r="Q6" s="1"/>
    </row>
    <row r="7" spans="2:17" s="40" customFormat="1" x14ac:dyDescent="0.6">
      <c r="B7" s="252"/>
      <c r="D7" s="41" t="s">
        <v>22</v>
      </c>
      <c r="E7" s="41"/>
      <c r="F7" s="218">
        <v>0</v>
      </c>
      <c r="G7" s="47">
        <f>IFERROR(F7/$F$25,0)</f>
        <v>0</v>
      </c>
      <c r="H7" s="214">
        <f>'Core Calculations'!B61</f>
        <v>0</v>
      </c>
      <c r="I7" s="39">
        <f>IFERROR(H7/$H$25,0)</f>
        <v>0</v>
      </c>
      <c r="J7" s="214">
        <f>'Core Calculations'!C61</f>
        <v>0</v>
      </c>
      <c r="K7" s="39">
        <f>IFERROR(J7/$J$25,0)</f>
        <v>0</v>
      </c>
      <c r="L7" s="214">
        <f>'Core Calculations'!D61</f>
        <v>0</v>
      </c>
      <c r="M7" s="39">
        <f>IFERROR(L7/$L$25,0)</f>
        <v>0</v>
      </c>
      <c r="N7" s="214">
        <f>'Core Calculations'!E61</f>
        <v>0</v>
      </c>
      <c r="O7" s="39">
        <f>IFERROR(N7/$N$25,0)</f>
        <v>0</v>
      </c>
    </row>
    <row r="8" spans="2:17" s="40" customFormat="1" x14ac:dyDescent="0.6">
      <c r="B8" s="252"/>
      <c r="D8" s="42"/>
      <c r="E8" s="42"/>
      <c r="F8" s="219"/>
      <c r="G8" s="47"/>
      <c r="H8" s="214"/>
      <c r="I8" s="39"/>
      <c r="J8" s="214"/>
      <c r="K8" s="39"/>
      <c r="L8" s="214"/>
      <c r="M8" s="39"/>
      <c r="N8" s="214"/>
      <c r="O8" s="39"/>
    </row>
    <row r="9" spans="2:17" x14ac:dyDescent="0.6">
      <c r="B9" s="252"/>
      <c r="C9" s="1" t="s">
        <v>60</v>
      </c>
      <c r="D9" s="43"/>
      <c r="E9" s="43"/>
      <c r="F9" s="220"/>
      <c r="G9" s="47"/>
      <c r="H9" s="213"/>
      <c r="I9" s="39"/>
      <c r="J9" s="213"/>
      <c r="K9" s="39"/>
      <c r="L9" s="213"/>
      <c r="M9" s="39"/>
      <c r="N9" s="213"/>
      <c r="O9" s="39"/>
      <c r="Q9" s="1"/>
    </row>
    <row r="10" spans="2:17" x14ac:dyDescent="0.6">
      <c r="B10" s="252"/>
      <c r="D10" s="38" t="s">
        <v>31</v>
      </c>
      <c r="E10" s="38"/>
      <c r="F10" s="221">
        <v>4000000</v>
      </c>
      <c r="G10" s="47">
        <f>IFERROR(F10/$F$25,0)</f>
        <v>0.625</v>
      </c>
      <c r="H10" s="213">
        <f>'Core Calculations'!B60+F10</f>
        <v>4126900</v>
      </c>
      <c r="I10" s="39">
        <f>IFERROR(H10/$H$25,0)</f>
        <v>0.61652994020814389</v>
      </c>
      <c r="J10" s="213">
        <f>'Core Calculations'!C60+F10</f>
        <v>4126900</v>
      </c>
      <c r="K10" s="39">
        <f>IFERROR(J10/$J$25,0)</f>
        <v>0.59748293494111127</v>
      </c>
      <c r="L10" s="213">
        <f>'Core Calculations'!D60+F10</f>
        <v>4126900</v>
      </c>
      <c r="M10" s="39">
        <f>IFERROR(L10/$L$25,0)</f>
        <v>0.58019588776319819</v>
      </c>
      <c r="N10" s="213">
        <f>'Core Calculations'!E60+F10</f>
        <v>4126900</v>
      </c>
      <c r="O10" s="39">
        <f>IFERROR(N10/$N$25,0)</f>
        <v>0.56423589552554065</v>
      </c>
      <c r="Q10" s="1"/>
    </row>
    <row r="11" spans="2:17" x14ac:dyDescent="0.6">
      <c r="F11" s="216"/>
      <c r="G11" s="47"/>
      <c r="H11" s="213"/>
      <c r="I11" s="44"/>
      <c r="J11" s="213"/>
      <c r="K11" s="44"/>
      <c r="L11" s="213"/>
      <c r="M11" s="44"/>
      <c r="N11" s="213"/>
      <c r="O11" s="44"/>
    </row>
    <row r="12" spans="2:17" x14ac:dyDescent="0.6">
      <c r="B12" s="252" t="s">
        <v>19</v>
      </c>
      <c r="C12" s="1" t="s">
        <v>59</v>
      </c>
      <c r="F12" s="216"/>
      <c r="G12" s="47"/>
      <c r="H12" s="215"/>
      <c r="I12" s="36"/>
      <c r="J12" s="215"/>
      <c r="K12" s="36"/>
      <c r="L12" s="215"/>
      <c r="M12" s="36"/>
      <c r="N12" s="215"/>
      <c r="O12" s="36"/>
      <c r="Q12" s="1"/>
    </row>
    <row r="13" spans="2:17" x14ac:dyDescent="0.6">
      <c r="B13" s="252"/>
      <c r="D13" s="1" t="s">
        <v>146</v>
      </c>
      <c r="F13" s="216">
        <f>F4*0.65</f>
        <v>650000</v>
      </c>
      <c r="G13" s="47">
        <f>IFERROR(F13/$F$25,0)</f>
        <v>0.1015625</v>
      </c>
      <c r="H13" s="216">
        <f>H4*0.65</f>
        <v>617500</v>
      </c>
      <c r="I13" s="39">
        <f t="shared" ref="I13:I14" si="0">IFERROR(H13/$H$25,0)</f>
        <v>9.2250172787934973E-2</v>
      </c>
      <c r="J13" s="216">
        <f>J4*0.65</f>
        <v>586625</v>
      </c>
      <c r="K13" s="39">
        <f t="shared" ref="K13:K14" si="1">IFERROR(J13/$J$25,0)</f>
        <v>8.4930196202919722E-2</v>
      </c>
      <c r="L13" s="216">
        <f>L4*0.65</f>
        <v>557293.75</v>
      </c>
      <c r="M13" s="39">
        <f t="shared" ref="M13:M14" si="2">IFERROR(L13/$L$25,0)</f>
        <v>7.834925537961468E-2</v>
      </c>
      <c r="N13" s="216">
        <f>N4*0.65</f>
        <v>529429.0625</v>
      </c>
      <c r="O13" s="39">
        <f t="shared" ref="O13:O14" si="3">IFERROR(N13/$N$25,0)</f>
        <v>7.2384327509010388E-2</v>
      </c>
      <c r="Q13" s="1"/>
    </row>
    <row r="14" spans="2:17" x14ac:dyDescent="0.6">
      <c r="B14" s="252"/>
      <c r="D14" s="1" t="s">
        <v>93</v>
      </c>
      <c r="F14" s="216">
        <f>F5*0.82</f>
        <v>1148000</v>
      </c>
      <c r="G14" s="47">
        <f>IFERROR(F14/$F$25,0)</f>
        <v>0.17937500000000001</v>
      </c>
      <c r="H14" s="216">
        <f>H5*0.82</f>
        <v>1272640</v>
      </c>
      <c r="I14" s="39">
        <f t="shared" si="0"/>
        <v>0.19012349780864382</v>
      </c>
      <c r="J14" s="216">
        <f>J5*0.82</f>
        <v>1391048</v>
      </c>
      <c r="K14" s="39">
        <f t="shared" si="1"/>
        <v>0.2013926777203138</v>
      </c>
      <c r="L14" s="216">
        <f>L5*0.82</f>
        <v>1503535.5999999999</v>
      </c>
      <c r="M14" s="39">
        <f t="shared" si="2"/>
        <v>0.2113802544829225</v>
      </c>
      <c r="N14" s="216">
        <f>N5*0.82</f>
        <v>1610398.8199999998</v>
      </c>
      <c r="O14" s="39">
        <f t="shared" si="3"/>
        <v>0.22017611775327095</v>
      </c>
      <c r="Q14" s="1"/>
    </row>
    <row r="15" spans="2:17" x14ac:dyDescent="0.6">
      <c r="B15" s="252"/>
      <c r="D15" s="38" t="s">
        <v>130</v>
      </c>
      <c r="E15" s="38"/>
      <c r="F15" s="221">
        <v>0</v>
      </c>
      <c r="G15" s="47">
        <f>IFERROR(F15/$F$25,0)</f>
        <v>0</v>
      </c>
      <c r="H15" s="213">
        <f>'Core Calculations'!B65</f>
        <v>40549.080000000009</v>
      </c>
      <c r="I15" s="39">
        <f>IFERROR(H15/$H$25,0)</f>
        <v>6.0577483990150588E-3</v>
      </c>
      <c r="J15" s="213">
        <f>'Core Calculations'!C65</f>
        <v>113381.466</v>
      </c>
      <c r="K15" s="39">
        <f>IFERROR(J15/$J$25,0)</f>
        <v>1.6415103606485695E-2</v>
      </c>
      <c r="L15" s="213">
        <f>'Core Calculations'!D65</f>
        <v>189477.83400000015</v>
      </c>
      <c r="M15" s="39">
        <f>IFERROR(L15/$L$25,0)</f>
        <v>2.6638459887343525E-2</v>
      </c>
      <c r="N15" s="213">
        <f>'Core Calculations'!E65</f>
        <v>269538.66599999985</v>
      </c>
      <c r="O15" s="39">
        <f>IFERROR(N15/$N$25,0)</f>
        <v>3.6851726620288724E-2</v>
      </c>
      <c r="Q15" s="1"/>
    </row>
    <row r="16" spans="2:17" x14ac:dyDescent="0.6">
      <c r="B16" s="252"/>
      <c r="D16" s="38" t="s">
        <v>55</v>
      </c>
      <c r="E16" s="38"/>
      <c r="F16" s="221">
        <v>0</v>
      </c>
      <c r="G16" s="47">
        <f>IFERROR(F16/$F$25,0)</f>
        <v>0</v>
      </c>
      <c r="H16" s="213">
        <f>'Core Calculations'!B66</f>
        <v>2340</v>
      </c>
      <c r="I16" s="39">
        <f>IFERROR(H16/$H$25,0)</f>
        <v>3.4957960214375357E-4</v>
      </c>
      <c r="J16" s="213">
        <f>'Core Calculations'!C66</f>
        <v>6660</v>
      </c>
      <c r="K16" s="39">
        <f>IFERROR(J16/$J$25,0)</f>
        <v>9.6421923155584123E-4</v>
      </c>
      <c r="L16" s="213">
        <f>'Core Calculations'!D66</f>
        <v>10979.999999999998</v>
      </c>
      <c r="M16" s="39">
        <f>IFERROR(L16/$L$25,0)</f>
        <v>1.543664941636559E-3</v>
      </c>
      <c r="N16" s="213">
        <f>'Core Calculations'!E66</f>
        <v>15299.999999999998</v>
      </c>
      <c r="O16" s="39">
        <f>IFERROR(N16/$N$25,0)</f>
        <v>2.0918387170856508E-3</v>
      </c>
      <c r="Q16" s="1"/>
    </row>
    <row r="17" spans="2:18" x14ac:dyDescent="0.6">
      <c r="B17" s="252"/>
      <c r="D17" s="43"/>
      <c r="E17" s="43"/>
      <c r="F17" s="220"/>
      <c r="G17" s="47"/>
      <c r="H17" s="215"/>
      <c r="I17" s="39"/>
      <c r="J17" s="215"/>
      <c r="K17" s="39"/>
      <c r="L17" s="215"/>
      <c r="M17" s="39"/>
      <c r="N17" s="215"/>
      <c r="O17" s="39"/>
      <c r="Q17" s="1"/>
    </row>
    <row r="18" spans="2:18" x14ac:dyDescent="0.6">
      <c r="B18" s="252"/>
      <c r="C18" s="1" t="s">
        <v>60</v>
      </c>
      <c r="F18" s="216"/>
      <c r="G18" s="47"/>
      <c r="H18" s="215"/>
      <c r="I18" s="36"/>
      <c r="J18" s="215"/>
      <c r="K18" s="36"/>
      <c r="L18" s="215"/>
      <c r="M18" s="36"/>
      <c r="N18" s="215"/>
      <c r="O18" s="36"/>
      <c r="Q18" s="1"/>
    </row>
    <row r="19" spans="2:18" x14ac:dyDescent="0.6">
      <c r="B19" s="252"/>
      <c r="D19" s="46" t="s">
        <v>58</v>
      </c>
      <c r="E19" s="46"/>
      <c r="F19" s="218">
        <f>F10*0.6</f>
        <v>2400000</v>
      </c>
      <c r="G19" s="47">
        <f>IFERROR(F19/$F$25,0)</f>
        <v>0.375</v>
      </c>
      <c r="H19" s="215">
        <f>'Core Calculations'!B67+(F10*0.6)</f>
        <v>2455000</v>
      </c>
      <c r="I19" s="39">
        <f>IFERROR(H19/$H$25,0)</f>
        <v>0.36675979626620298</v>
      </c>
      <c r="J19" s="215">
        <f>'Core Calculations'!C67+(F10*0.6)</f>
        <v>2455000</v>
      </c>
      <c r="K19" s="39">
        <f>IFERROR(J19/$J$25,0)</f>
        <v>0.35542916118162016</v>
      </c>
      <c r="L19" s="215">
        <f>'Core Calculations'!D67+(F10*0.6)</f>
        <v>2455000</v>
      </c>
      <c r="M19" s="39">
        <f>IFERROR(L19/$L$25,0)</f>
        <v>0.34514548558449482</v>
      </c>
      <c r="N19" s="215">
        <f>'Core Calculations'!E67+(F10*0.6)</f>
        <v>2455000</v>
      </c>
      <c r="O19" s="39">
        <f>IFERROR(N19/$N$25,0)</f>
        <v>0.33565124512714201</v>
      </c>
      <c r="Q19" s="1"/>
    </row>
    <row r="20" spans="2:18" x14ac:dyDescent="0.6">
      <c r="F20" s="216"/>
      <c r="G20" s="47"/>
      <c r="H20" s="215"/>
      <c r="I20" s="36"/>
      <c r="J20" s="215"/>
      <c r="K20" s="36"/>
      <c r="L20" s="215"/>
      <c r="M20" s="36"/>
      <c r="N20" s="215"/>
      <c r="O20" s="36"/>
      <c r="Q20" s="1"/>
    </row>
    <row r="21" spans="2:18" ht="16.5" customHeight="1" x14ac:dyDescent="0.6">
      <c r="B21" s="252" t="s">
        <v>20</v>
      </c>
      <c r="D21" s="17" t="s">
        <v>27</v>
      </c>
      <c r="E21" s="17"/>
      <c r="F21" s="213">
        <f>F25*0.12</f>
        <v>768000</v>
      </c>
      <c r="G21" s="47">
        <f>IFERROR(F21/$F$25,0)</f>
        <v>0.12</v>
      </c>
      <c r="H21" s="214">
        <f>'Core Calculations'!B71+F21</f>
        <v>880163.12</v>
      </c>
      <c r="I21" s="39">
        <f>IFERROR(H21/$H$25,0)</f>
        <v>0.13149020226974564</v>
      </c>
      <c r="J21" s="214">
        <f>'Core Calculations'!C71+F21</f>
        <v>895728.17599999998</v>
      </c>
      <c r="K21" s="39">
        <f>IFERROR(J21/$J$25,0)</f>
        <v>0.1296814314633086</v>
      </c>
      <c r="L21" s="214">
        <f>'Core Calculations'!D71+F21</f>
        <v>923685.41120000009</v>
      </c>
      <c r="M21" s="39">
        <f>IFERROR(L21/$L$25,0)</f>
        <v>0.12985981660934329</v>
      </c>
      <c r="N21" s="214">
        <f>'Core Calculations'!E71+F21</f>
        <v>950984.12479999999</v>
      </c>
      <c r="O21" s="39">
        <f>IFERROR(N21/$N$25,0)</f>
        <v>0.13001996154185963</v>
      </c>
      <c r="Q21" s="1"/>
    </row>
    <row r="22" spans="2:18" x14ac:dyDescent="0.6">
      <c r="B22" s="252"/>
      <c r="D22" s="17" t="s">
        <v>66</v>
      </c>
      <c r="E22" s="17"/>
      <c r="F22" s="213">
        <v>0</v>
      </c>
      <c r="G22" s="47">
        <f>IFERROR(F22/$F$25,0)</f>
        <v>0</v>
      </c>
      <c r="H22" s="214">
        <f>'Core Calculations'!B72</f>
        <v>0</v>
      </c>
      <c r="I22" s="39">
        <f>IFERROR(H22/$H$25,0)</f>
        <v>0</v>
      </c>
      <c r="J22" s="214">
        <f>'Core Calculations'!C72</f>
        <v>0</v>
      </c>
      <c r="K22" s="39">
        <f>IFERROR(J22/$J$25,0)</f>
        <v>0</v>
      </c>
      <c r="L22" s="214">
        <f>'Core Calculations'!D72</f>
        <v>0</v>
      </c>
      <c r="M22" s="39">
        <f>IFERROR(L22/$L$25,0)</f>
        <v>0</v>
      </c>
      <c r="N22" s="214">
        <f>'Core Calculations'!E72</f>
        <v>0</v>
      </c>
      <c r="O22" s="39">
        <f>IFERROR(N22/$N$25,0)</f>
        <v>0</v>
      </c>
      <c r="Q22" s="1"/>
    </row>
    <row r="23" spans="2:18" x14ac:dyDescent="0.6">
      <c r="B23" s="252"/>
      <c r="D23" s="17" t="s">
        <v>94</v>
      </c>
      <c r="E23" s="17"/>
      <c r="F23" s="213">
        <v>1100000</v>
      </c>
      <c r="G23" s="47">
        <f>IFERROR(F23/$F$25,0)</f>
        <v>0.171875</v>
      </c>
      <c r="H23" s="214">
        <f>'Core Calculations'!B73+'Core Calculations'!B74+F23</f>
        <v>1100000</v>
      </c>
      <c r="I23" s="39">
        <f>IFERROR(H23/$H$25,0)</f>
        <v>0.16433229160603799</v>
      </c>
      <c r="J23" s="214">
        <f>'Core Calculations'!C73+'Core Calculations'!C74+F23</f>
        <v>1100000</v>
      </c>
      <c r="K23" s="39">
        <f>IFERROR(J23/$J$25,0)</f>
        <v>0.15925542863534917</v>
      </c>
      <c r="L23" s="214">
        <f>'Core Calculations'!D73+'Core Calculations'!D74+F23</f>
        <v>1100000</v>
      </c>
      <c r="M23" s="39">
        <f>IFERROR(L23/$L$25,0)</f>
        <v>0.15464767174865349</v>
      </c>
      <c r="N23" s="214">
        <f>'Core Calculations'!E73+'Core Calculations'!E74+F23</f>
        <v>1100000</v>
      </c>
      <c r="O23" s="39">
        <f>IFERROR(N23/$N$25,0)</f>
        <v>0.15039363325452393</v>
      </c>
      <c r="Q23" s="1"/>
    </row>
    <row r="24" spans="2:18" x14ac:dyDescent="0.6">
      <c r="F24" s="216"/>
      <c r="H24" s="216"/>
      <c r="I24" s="47"/>
      <c r="J24" s="216"/>
      <c r="K24" s="47"/>
      <c r="L24" s="216"/>
      <c r="M24" s="47"/>
      <c r="N24" s="216"/>
      <c r="O24" s="47"/>
      <c r="Q24" s="1"/>
    </row>
    <row r="25" spans="2:18" x14ac:dyDescent="0.6">
      <c r="C25" s="1" t="s">
        <v>0</v>
      </c>
      <c r="F25" s="216">
        <f>SUM(F4:F10)</f>
        <v>6400000</v>
      </c>
      <c r="H25" s="216">
        <f>SUM(H4:H10)</f>
        <v>6693754.4000000004</v>
      </c>
      <c r="J25" s="216">
        <f>SUM(J4:J10)</f>
        <v>6907142.8799999999</v>
      </c>
      <c r="L25" s="216">
        <f>SUM(L4:L10)</f>
        <v>7112942.5199999996</v>
      </c>
      <c r="N25" s="216">
        <f>SUM(N4:N10)</f>
        <v>7314139.4100000001</v>
      </c>
      <c r="O25" s="26"/>
      <c r="Q25" s="1"/>
    </row>
    <row r="26" spans="2:18" x14ac:dyDescent="0.6">
      <c r="C26" s="1" t="s">
        <v>1</v>
      </c>
      <c r="F26" s="216">
        <f>SUM(F13:F23)</f>
        <v>6066000</v>
      </c>
      <c r="H26" s="216">
        <f>SUM(H13:H23)</f>
        <v>6368192.2000000002</v>
      </c>
      <c r="J26" s="216">
        <f>SUM(J13:J23)</f>
        <v>6548442.642</v>
      </c>
      <c r="L26" s="216">
        <f>SUM(L13:L23)</f>
        <v>6739972.5952000003</v>
      </c>
      <c r="N26" s="216">
        <f>SUM(N13:N23)</f>
        <v>6930650.6732999999</v>
      </c>
      <c r="O26" s="26"/>
      <c r="Q26" s="1"/>
    </row>
    <row r="27" spans="2:18" x14ac:dyDescent="0.6">
      <c r="F27" s="216"/>
      <c r="H27" s="216"/>
      <c r="J27" s="216"/>
      <c r="L27" s="216"/>
      <c r="N27" s="216"/>
      <c r="Q27" s="1"/>
    </row>
    <row r="28" spans="2:18" x14ac:dyDescent="0.6">
      <c r="C28" s="1" t="s">
        <v>2</v>
      </c>
      <c r="F28" s="217">
        <f>F25-F26</f>
        <v>334000</v>
      </c>
      <c r="G28" s="50"/>
      <c r="H28" s="217">
        <f>H25-H26</f>
        <v>325562.20000000019</v>
      </c>
      <c r="I28" s="48"/>
      <c r="J28" s="217">
        <f>J25-J26</f>
        <v>358700.2379999999</v>
      </c>
      <c r="K28" s="48"/>
      <c r="L28" s="217">
        <f>L25-L26</f>
        <v>372969.92479999922</v>
      </c>
      <c r="M28" s="48"/>
      <c r="N28" s="217">
        <f>N25-N26</f>
        <v>383488.73670000024</v>
      </c>
      <c r="Q28" s="1"/>
    </row>
    <row r="29" spans="2:18" x14ac:dyDescent="0.6">
      <c r="F29" s="26"/>
      <c r="H29" s="26"/>
    </row>
    <row r="30" spans="2:18" x14ac:dyDescent="0.6">
      <c r="C30" s="1" t="s">
        <v>3</v>
      </c>
      <c r="F30" s="49">
        <f>IFERROR(F28/F25,0)</f>
        <v>5.2187499999999998E-2</v>
      </c>
      <c r="G30" s="50"/>
      <c r="H30" s="49">
        <f>IFERROR(H28/H25,0)</f>
        <v>4.8636711260275724E-2</v>
      </c>
      <c r="I30" s="50"/>
      <c r="J30" s="49">
        <f>IFERROR(J28/J25,0)</f>
        <v>5.1931781958447033E-2</v>
      </c>
      <c r="K30" s="50"/>
      <c r="L30" s="49">
        <f>IFERROR(L28/L25,0)</f>
        <v>5.2435391365991138E-2</v>
      </c>
      <c r="M30" s="50"/>
      <c r="N30" s="49">
        <f>IFERROR(N28/N25,0)</f>
        <v>5.2431149476818657E-2</v>
      </c>
    </row>
    <row r="31" spans="2:18" x14ac:dyDescent="0.6">
      <c r="J31" s="47"/>
      <c r="L31" s="47"/>
      <c r="N31" s="47"/>
      <c r="Q31" s="22"/>
      <c r="R31" s="17"/>
    </row>
    <row r="38" spans="11:14" hidden="1" x14ac:dyDescent="0.6">
      <c r="K38" s="51" t="s">
        <v>16</v>
      </c>
      <c r="L38" s="52">
        <f>H25*0.82</f>
        <v>5488878.608</v>
      </c>
      <c r="M38" s="52">
        <f>H25*0.18</f>
        <v>1204875.7920000001</v>
      </c>
      <c r="N38" s="53"/>
    </row>
    <row r="39" spans="11:14" hidden="1" x14ac:dyDescent="0.6">
      <c r="K39" s="51" t="s">
        <v>17</v>
      </c>
      <c r="L39" s="52" t="e">
        <f>L38+#REF!</f>
        <v>#REF!</v>
      </c>
      <c r="M39" s="52" t="e">
        <f>M38+#REF!</f>
        <v>#REF!</v>
      </c>
    </row>
    <row r="40" spans="11:14" hidden="1" x14ac:dyDescent="0.6"/>
    <row r="41" spans="11:14" hidden="1" x14ac:dyDescent="0.6">
      <c r="L41" s="26">
        <v>3167250</v>
      </c>
      <c r="M41" s="26">
        <v>695250</v>
      </c>
      <c r="N41" s="26">
        <f>SUM(L41:M41)</f>
        <v>3862500</v>
      </c>
    </row>
    <row r="42" spans="11:14" hidden="1" x14ac:dyDescent="0.6">
      <c r="K42" s="31"/>
      <c r="L42" s="54">
        <v>3209750</v>
      </c>
      <c r="M42" s="54">
        <v>1524427.734375</v>
      </c>
      <c r="N42" s="26">
        <f>SUM(L42:M42)</f>
        <v>4734177.734375</v>
      </c>
    </row>
    <row r="43" spans="11:14" hidden="1" x14ac:dyDescent="0.6">
      <c r="K43" s="31"/>
      <c r="L43" s="31"/>
      <c r="M43" s="31"/>
      <c r="N43" s="31"/>
    </row>
    <row r="44" spans="11:14" hidden="1" x14ac:dyDescent="0.6">
      <c r="K44" s="31"/>
      <c r="L44" s="31">
        <f>L41/N41</f>
        <v>0.82</v>
      </c>
      <c r="M44" s="31">
        <f>M41/N41</f>
        <v>0.18</v>
      </c>
      <c r="N44" s="31"/>
    </row>
    <row r="45" spans="11:14" hidden="1" x14ac:dyDescent="0.6">
      <c r="K45" s="31"/>
      <c r="L45" s="31">
        <f>L42/N42</f>
        <v>0.67799524650160758</v>
      </c>
      <c r="M45" s="31">
        <f>M42/N42</f>
        <v>0.32200475349839247</v>
      </c>
      <c r="N45" s="31"/>
    </row>
  </sheetData>
  <mergeCells count="8">
    <mergeCell ref="B21:B23"/>
    <mergeCell ref="H1:I1"/>
    <mergeCell ref="J1:K1"/>
    <mergeCell ref="L1:M1"/>
    <mergeCell ref="N1:O1"/>
    <mergeCell ref="B3:B10"/>
    <mergeCell ref="B12:B19"/>
    <mergeCell ref="F1:G1"/>
  </mergeCells>
  <pageMargins left="0.7" right="0.7" top="0.75" bottom="0.75" header="0.3" footer="0.3"/>
  <pageSetup orientation="portrait" r:id="rId1"/>
  <ignoredErrors>
    <ignoredError sqref="F19" unlockedFormula="1"/>
    <ignoredError sqref="I5 G13 I4 K4 M4 K5 M5 G14 I14:M14 I13 K13 M1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X20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2" sqref="B12"/>
    </sheetView>
  </sheetViews>
  <sheetFormatPr defaultColWidth="9.06640625" defaultRowHeight="16.5" x14ac:dyDescent="0.6"/>
  <cols>
    <col min="1" max="1" width="41.33203125" style="51" customWidth="1"/>
    <col min="2" max="16384" width="9.06640625" style="51"/>
  </cols>
  <sheetData>
    <row r="2" spans="1:50" x14ac:dyDescent="0.6">
      <c r="A2" s="58" t="s">
        <v>13</v>
      </c>
      <c r="B2" s="59">
        <v>1</v>
      </c>
      <c r="C2" s="59">
        <v>2</v>
      </c>
      <c r="D2" s="59">
        <v>3</v>
      </c>
      <c r="E2" s="59">
        <v>4</v>
      </c>
      <c r="F2" s="59">
        <v>5</v>
      </c>
      <c r="G2" s="59">
        <v>6</v>
      </c>
      <c r="H2" s="59">
        <v>7</v>
      </c>
      <c r="I2" s="59">
        <v>8</v>
      </c>
      <c r="J2" s="59">
        <v>9</v>
      </c>
      <c r="K2" s="59">
        <v>10</v>
      </c>
      <c r="L2" s="59">
        <v>11</v>
      </c>
      <c r="M2" s="59">
        <v>12</v>
      </c>
      <c r="N2" s="59">
        <v>13</v>
      </c>
      <c r="O2" s="59">
        <v>14</v>
      </c>
      <c r="P2" s="59">
        <v>15</v>
      </c>
      <c r="Q2" s="59">
        <v>16</v>
      </c>
      <c r="R2" s="59">
        <v>17</v>
      </c>
      <c r="S2" s="59">
        <v>18</v>
      </c>
      <c r="T2" s="59">
        <v>19</v>
      </c>
      <c r="U2" s="59">
        <v>20</v>
      </c>
      <c r="V2" s="59">
        <v>21</v>
      </c>
      <c r="W2" s="59">
        <v>22</v>
      </c>
      <c r="X2" s="59">
        <v>23</v>
      </c>
      <c r="Y2" s="59">
        <v>24</v>
      </c>
      <c r="Z2" s="59">
        <v>25</v>
      </c>
      <c r="AA2" s="59">
        <v>26</v>
      </c>
      <c r="AB2" s="59">
        <v>27</v>
      </c>
      <c r="AC2" s="59">
        <v>28</v>
      </c>
      <c r="AD2" s="59">
        <v>29</v>
      </c>
      <c r="AE2" s="59">
        <v>30</v>
      </c>
      <c r="AF2" s="59">
        <v>31</v>
      </c>
      <c r="AG2" s="59">
        <v>32</v>
      </c>
      <c r="AH2" s="59">
        <v>33</v>
      </c>
      <c r="AI2" s="59">
        <v>34</v>
      </c>
      <c r="AJ2" s="59">
        <v>35</v>
      </c>
      <c r="AK2" s="59">
        <v>36</v>
      </c>
      <c r="AL2" s="59">
        <v>37</v>
      </c>
      <c r="AM2" s="59">
        <v>38</v>
      </c>
      <c r="AN2" s="59">
        <v>39</v>
      </c>
      <c r="AO2" s="59">
        <v>40</v>
      </c>
      <c r="AP2" s="59">
        <v>41</v>
      </c>
      <c r="AQ2" s="59">
        <v>42</v>
      </c>
      <c r="AR2" s="59">
        <v>43</v>
      </c>
      <c r="AS2" s="59">
        <v>44</v>
      </c>
      <c r="AT2" s="59">
        <v>45</v>
      </c>
      <c r="AU2" s="59">
        <v>46</v>
      </c>
      <c r="AV2" s="59">
        <v>47</v>
      </c>
      <c r="AW2" s="59">
        <v>48</v>
      </c>
    </row>
    <row r="3" spans="1:50" x14ac:dyDescent="0.6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</row>
    <row r="4" spans="1:50" x14ac:dyDescent="0.6">
      <c r="A4" s="51" t="s">
        <v>46</v>
      </c>
      <c r="B4" s="156">
        <f>'Key Business Variables'!$F$5/12</f>
        <v>1.25</v>
      </c>
      <c r="C4" s="156">
        <f>'Key Business Variables'!$F$5/12</f>
        <v>1.25</v>
      </c>
      <c r="D4" s="156">
        <f>'Key Business Variables'!$F$5/12</f>
        <v>1.25</v>
      </c>
      <c r="E4" s="156">
        <f>'Key Business Variables'!$F$5/12</f>
        <v>1.25</v>
      </c>
      <c r="F4" s="156">
        <f>'Key Business Variables'!$F$5/12</f>
        <v>1.25</v>
      </c>
      <c r="G4" s="156">
        <f>'Key Business Variables'!$F$5/12</f>
        <v>1.25</v>
      </c>
      <c r="H4" s="156">
        <f>'Key Business Variables'!$F$5/12</f>
        <v>1.25</v>
      </c>
      <c r="I4" s="156">
        <f>'Key Business Variables'!$F$5/12</f>
        <v>1.25</v>
      </c>
      <c r="J4" s="156">
        <f>'Key Business Variables'!$F$5/12</f>
        <v>1.25</v>
      </c>
      <c r="K4" s="156">
        <f>'Key Business Variables'!$F$5/12</f>
        <v>1.25</v>
      </c>
      <c r="L4" s="156">
        <f>'Key Business Variables'!$F$5/12</f>
        <v>1.25</v>
      </c>
      <c r="M4" s="156">
        <f>'Key Business Variables'!$F$5/12</f>
        <v>1.25</v>
      </c>
      <c r="N4" s="156">
        <f>'Key Business Variables'!$G$5/12</f>
        <v>1.25</v>
      </c>
      <c r="O4" s="156">
        <f>'Key Business Variables'!$G$5/12</f>
        <v>1.25</v>
      </c>
      <c r="P4" s="156">
        <f>'Key Business Variables'!$G$5/12</f>
        <v>1.25</v>
      </c>
      <c r="Q4" s="156">
        <f>'Key Business Variables'!$G$5/12</f>
        <v>1.25</v>
      </c>
      <c r="R4" s="156">
        <f>'Key Business Variables'!$G$5/12</f>
        <v>1.25</v>
      </c>
      <c r="S4" s="156">
        <f>'Key Business Variables'!$G$5/12</f>
        <v>1.25</v>
      </c>
      <c r="T4" s="156">
        <f>'Key Business Variables'!$G$5/12</f>
        <v>1.25</v>
      </c>
      <c r="U4" s="156">
        <f>'Key Business Variables'!$G$5/12</f>
        <v>1.25</v>
      </c>
      <c r="V4" s="156">
        <f>'Key Business Variables'!$G$5/12</f>
        <v>1.25</v>
      </c>
      <c r="W4" s="156">
        <f>'Key Business Variables'!$G$5/12</f>
        <v>1.25</v>
      </c>
      <c r="X4" s="156">
        <f>'Key Business Variables'!$G$5/12</f>
        <v>1.25</v>
      </c>
      <c r="Y4" s="156">
        <f>'Key Business Variables'!$G$5/12</f>
        <v>1.25</v>
      </c>
      <c r="Z4" s="156">
        <f>'Key Business Variables'!$I$5/12</f>
        <v>1.25</v>
      </c>
      <c r="AA4" s="156">
        <f>'Key Business Variables'!$I$5/12</f>
        <v>1.25</v>
      </c>
      <c r="AB4" s="156">
        <f>'Key Business Variables'!$I$5/12</f>
        <v>1.25</v>
      </c>
      <c r="AC4" s="156">
        <f>'Key Business Variables'!$I$5/12</f>
        <v>1.25</v>
      </c>
      <c r="AD4" s="156">
        <f>'Key Business Variables'!$I$5/12</f>
        <v>1.25</v>
      </c>
      <c r="AE4" s="156">
        <f>'Key Business Variables'!$I$5/12</f>
        <v>1.25</v>
      </c>
      <c r="AF4" s="156">
        <f>'Key Business Variables'!$I$5/12</f>
        <v>1.25</v>
      </c>
      <c r="AG4" s="156">
        <f>'Key Business Variables'!$I$5/12</f>
        <v>1.25</v>
      </c>
      <c r="AH4" s="156">
        <f>'Key Business Variables'!$I$5/12</f>
        <v>1.25</v>
      </c>
      <c r="AI4" s="156">
        <f>'Key Business Variables'!$I$5/12</f>
        <v>1.25</v>
      </c>
      <c r="AJ4" s="156">
        <f>'Key Business Variables'!$I$5/12</f>
        <v>1.25</v>
      </c>
      <c r="AK4" s="156">
        <f>'Key Business Variables'!$I$5/12</f>
        <v>1.25</v>
      </c>
      <c r="AL4" s="156">
        <f>'Key Business Variables'!$J$5/12</f>
        <v>1.25</v>
      </c>
      <c r="AM4" s="156">
        <f>'Key Business Variables'!$J$5/12</f>
        <v>1.25</v>
      </c>
      <c r="AN4" s="156">
        <f>'Key Business Variables'!$J$5/12</f>
        <v>1.25</v>
      </c>
      <c r="AO4" s="156">
        <f>'Key Business Variables'!$J$5/12</f>
        <v>1.25</v>
      </c>
      <c r="AP4" s="156">
        <f>'Key Business Variables'!$J$5/12</f>
        <v>1.25</v>
      </c>
      <c r="AQ4" s="156">
        <f>'Key Business Variables'!$J$5/12</f>
        <v>1.25</v>
      </c>
      <c r="AR4" s="156">
        <f>'Key Business Variables'!$J$5/12</f>
        <v>1.25</v>
      </c>
      <c r="AS4" s="156">
        <f>'Key Business Variables'!$J$5/12</f>
        <v>1.25</v>
      </c>
      <c r="AT4" s="156">
        <f>'Key Business Variables'!$J$5/12</f>
        <v>1.25</v>
      </c>
      <c r="AU4" s="156">
        <f>'Key Business Variables'!$J$5/12</f>
        <v>1.25</v>
      </c>
      <c r="AV4" s="156">
        <f>'Key Business Variables'!$J$5/12</f>
        <v>1.25</v>
      </c>
      <c r="AW4" s="156">
        <f>'Key Business Variables'!$J$5/12</f>
        <v>1.25</v>
      </c>
      <c r="AX4" s="187">
        <f>SUM(B4:AW4)</f>
        <v>60</v>
      </c>
    </row>
    <row r="5" spans="1:50" x14ac:dyDescent="0.6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</row>
    <row r="6" spans="1:50" x14ac:dyDescent="0.6">
      <c r="A6" s="51" t="s">
        <v>103</v>
      </c>
      <c r="B6" s="156">
        <f>'Key Business Variables'!$F$3/12</f>
        <v>0.41666666666666669</v>
      </c>
      <c r="C6" s="156">
        <f>'Key Business Variables'!$F$3/12</f>
        <v>0.41666666666666669</v>
      </c>
      <c r="D6" s="156">
        <f>'Key Business Variables'!$F$3/12</f>
        <v>0.41666666666666669</v>
      </c>
      <c r="E6" s="156">
        <f>'Key Business Variables'!$F$3/12</f>
        <v>0.41666666666666669</v>
      </c>
      <c r="F6" s="156">
        <f>'Key Business Variables'!$F$3/12</f>
        <v>0.41666666666666669</v>
      </c>
      <c r="G6" s="156">
        <f>'Key Business Variables'!$F$3/12</f>
        <v>0.41666666666666669</v>
      </c>
      <c r="H6" s="156">
        <f>'Key Business Variables'!$F$3/12</f>
        <v>0.41666666666666669</v>
      </c>
      <c r="I6" s="156">
        <f>'Key Business Variables'!$F$3/12</f>
        <v>0.41666666666666669</v>
      </c>
      <c r="J6" s="156">
        <f>'Key Business Variables'!$F$3/12</f>
        <v>0.41666666666666669</v>
      </c>
      <c r="K6" s="156">
        <f>'Key Business Variables'!$F$3/12</f>
        <v>0.41666666666666669</v>
      </c>
      <c r="L6" s="156">
        <f>'Key Business Variables'!$F$3/12</f>
        <v>0.41666666666666669</v>
      </c>
      <c r="M6" s="156">
        <f>'Key Business Variables'!$F$3/12</f>
        <v>0.41666666666666669</v>
      </c>
      <c r="N6" s="156">
        <f>'Key Business Variables'!$G$3/12</f>
        <v>0.41666666666666669</v>
      </c>
      <c r="O6" s="156">
        <f>'Key Business Variables'!$G$3/12</f>
        <v>0.41666666666666669</v>
      </c>
      <c r="P6" s="156">
        <f>'Key Business Variables'!$G$3/12</f>
        <v>0.41666666666666669</v>
      </c>
      <c r="Q6" s="156">
        <f>'Key Business Variables'!$G$3/12</f>
        <v>0.41666666666666669</v>
      </c>
      <c r="R6" s="156">
        <f>'Key Business Variables'!$G$3/12</f>
        <v>0.41666666666666669</v>
      </c>
      <c r="S6" s="156">
        <f>'Key Business Variables'!$G$3/12</f>
        <v>0.41666666666666669</v>
      </c>
      <c r="T6" s="156">
        <f>'Key Business Variables'!$G$3/12</f>
        <v>0.41666666666666669</v>
      </c>
      <c r="U6" s="156">
        <f>'Key Business Variables'!$G$3/12</f>
        <v>0.41666666666666669</v>
      </c>
      <c r="V6" s="156">
        <f>'Key Business Variables'!$G$3/12</f>
        <v>0.41666666666666669</v>
      </c>
      <c r="W6" s="156">
        <f>'Key Business Variables'!$G$3/12</f>
        <v>0.41666666666666669</v>
      </c>
      <c r="X6" s="156">
        <f>'Key Business Variables'!$G$3/12</f>
        <v>0.41666666666666669</v>
      </c>
      <c r="Y6" s="156">
        <f>'Key Business Variables'!$G$3/12</f>
        <v>0.41666666666666669</v>
      </c>
      <c r="Z6" s="156">
        <f>'Key Business Variables'!$I$3/12</f>
        <v>0.41666666666666669</v>
      </c>
      <c r="AA6" s="156">
        <f>'Key Business Variables'!$I$3/12</f>
        <v>0.41666666666666669</v>
      </c>
      <c r="AB6" s="156">
        <f>'Key Business Variables'!$I$3/12</f>
        <v>0.41666666666666669</v>
      </c>
      <c r="AC6" s="156">
        <f>'Key Business Variables'!$I$3/12</f>
        <v>0.41666666666666669</v>
      </c>
      <c r="AD6" s="156">
        <f>'Key Business Variables'!$I$3/12</f>
        <v>0.41666666666666669</v>
      </c>
      <c r="AE6" s="156">
        <f>'Key Business Variables'!$I$3/12</f>
        <v>0.41666666666666669</v>
      </c>
      <c r="AF6" s="156">
        <f>'Key Business Variables'!$I$3/12</f>
        <v>0.41666666666666669</v>
      </c>
      <c r="AG6" s="156">
        <f>'Key Business Variables'!$I$3/12</f>
        <v>0.41666666666666669</v>
      </c>
      <c r="AH6" s="156">
        <f>'Key Business Variables'!$I$3/12</f>
        <v>0.41666666666666669</v>
      </c>
      <c r="AI6" s="156">
        <f>'Key Business Variables'!$I$3/12</f>
        <v>0.41666666666666669</v>
      </c>
      <c r="AJ6" s="156">
        <f>'Key Business Variables'!$I$3/12</f>
        <v>0.41666666666666669</v>
      </c>
      <c r="AK6" s="156">
        <f>'Key Business Variables'!$I$3/12</f>
        <v>0.41666666666666669</v>
      </c>
      <c r="AL6" s="156">
        <f>'Key Business Variables'!$J$3/12</f>
        <v>0.41666666666666669</v>
      </c>
      <c r="AM6" s="156">
        <f>'Key Business Variables'!$J$3/12</f>
        <v>0.41666666666666669</v>
      </c>
      <c r="AN6" s="156">
        <f>'Key Business Variables'!$J$3/12</f>
        <v>0.41666666666666669</v>
      </c>
      <c r="AO6" s="156">
        <f>'Key Business Variables'!$J$3/12</f>
        <v>0.41666666666666669</v>
      </c>
      <c r="AP6" s="156">
        <f>'Key Business Variables'!$J$3/12</f>
        <v>0.41666666666666669</v>
      </c>
      <c r="AQ6" s="156">
        <f>'Key Business Variables'!$J$3/12</f>
        <v>0.41666666666666669</v>
      </c>
      <c r="AR6" s="156">
        <f>'Key Business Variables'!$J$3/12</f>
        <v>0.41666666666666669</v>
      </c>
      <c r="AS6" s="156">
        <f>'Key Business Variables'!$J$3/12</f>
        <v>0.41666666666666669</v>
      </c>
      <c r="AT6" s="156">
        <f>'Key Business Variables'!$J$3/12</f>
        <v>0.41666666666666669</v>
      </c>
      <c r="AU6" s="156">
        <f>'Key Business Variables'!$J$3/12</f>
        <v>0.41666666666666669</v>
      </c>
      <c r="AV6" s="156">
        <f>'Key Business Variables'!$J$3/12</f>
        <v>0.41666666666666669</v>
      </c>
      <c r="AW6" s="156">
        <f>'Key Business Variables'!$J$3/12</f>
        <v>0.41666666666666669</v>
      </c>
    </row>
    <row r="7" spans="1:50" x14ac:dyDescent="0.6">
      <c r="B7" s="180"/>
    </row>
    <row r="8" spans="1:50" x14ac:dyDescent="0.6">
      <c r="A8" s="51" t="s">
        <v>44</v>
      </c>
      <c r="B8" s="180"/>
      <c r="C8" s="180"/>
    </row>
    <row r="10" spans="1:50" x14ac:dyDescent="0.6">
      <c r="A10" s="51" t="str">
        <f>'Key Business Variables'!E7</f>
        <v>Cloud Services Manager</v>
      </c>
      <c r="B10" s="155">
        <f>'Key Business Variables'!$F7</f>
        <v>0</v>
      </c>
      <c r="C10" s="155">
        <f>'Key Business Variables'!$F7</f>
        <v>0</v>
      </c>
      <c r="D10" s="155">
        <f>'Key Business Variables'!$F7</f>
        <v>0</v>
      </c>
      <c r="E10" s="155">
        <f>'Key Business Variables'!$F7</f>
        <v>0</v>
      </c>
      <c r="F10" s="155">
        <f>'Key Business Variables'!$F7</f>
        <v>0</v>
      </c>
      <c r="G10" s="155">
        <f>'Key Business Variables'!$F7</f>
        <v>0</v>
      </c>
      <c r="H10" s="155">
        <f>'Key Business Variables'!$F7</f>
        <v>0</v>
      </c>
      <c r="I10" s="155">
        <f>'Key Business Variables'!$F7</f>
        <v>0</v>
      </c>
      <c r="J10" s="155">
        <f>'Key Business Variables'!$F7</f>
        <v>0</v>
      </c>
      <c r="K10" s="155">
        <f>'Key Business Variables'!$F7</f>
        <v>0</v>
      </c>
      <c r="L10" s="155">
        <f>'Key Business Variables'!$F7</f>
        <v>0</v>
      </c>
      <c r="M10" s="155">
        <f>'Key Business Variables'!$F7</f>
        <v>0</v>
      </c>
      <c r="N10" s="155">
        <f>'Key Business Variables'!$G7</f>
        <v>0</v>
      </c>
      <c r="O10" s="155">
        <f>'Key Business Variables'!$G7</f>
        <v>0</v>
      </c>
      <c r="P10" s="155">
        <f>'Key Business Variables'!$G7</f>
        <v>0</v>
      </c>
      <c r="Q10" s="155">
        <f>'Key Business Variables'!$G7</f>
        <v>0</v>
      </c>
      <c r="R10" s="155">
        <f>'Key Business Variables'!$G7</f>
        <v>0</v>
      </c>
      <c r="S10" s="155">
        <f>'Key Business Variables'!$G7</f>
        <v>0</v>
      </c>
      <c r="T10" s="155">
        <f>'Key Business Variables'!$G7</f>
        <v>0</v>
      </c>
      <c r="U10" s="155">
        <f>'Key Business Variables'!$G7</f>
        <v>0</v>
      </c>
      <c r="V10" s="155">
        <f>'Key Business Variables'!$G7</f>
        <v>0</v>
      </c>
      <c r="W10" s="155">
        <f>'Key Business Variables'!$G7</f>
        <v>0</v>
      </c>
      <c r="X10" s="155">
        <f>'Key Business Variables'!$G7</f>
        <v>0</v>
      </c>
      <c r="Y10" s="155">
        <f>'Key Business Variables'!$G7</f>
        <v>0</v>
      </c>
      <c r="Z10" s="155">
        <f>'Key Business Variables'!$I7</f>
        <v>0</v>
      </c>
      <c r="AA10" s="155">
        <f>'Key Business Variables'!$I7</f>
        <v>0</v>
      </c>
      <c r="AB10" s="155">
        <f>'Key Business Variables'!$I7</f>
        <v>0</v>
      </c>
      <c r="AC10" s="155">
        <f>'Key Business Variables'!$I7</f>
        <v>0</v>
      </c>
      <c r="AD10" s="155">
        <f>'Key Business Variables'!$I7</f>
        <v>0</v>
      </c>
      <c r="AE10" s="155">
        <f>'Key Business Variables'!$I7</f>
        <v>0</v>
      </c>
      <c r="AF10" s="155">
        <f>'Key Business Variables'!$I7</f>
        <v>0</v>
      </c>
      <c r="AG10" s="155">
        <f>'Key Business Variables'!$I7</f>
        <v>0</v>
      </c>
      <c r="AH10" s="155">
        <f>'Key Business Variables'!$I7</f>
        <v>0</v>
      </c>
      <c r="AI10" s="155">
        <f>'Key Business Variables'!$I7</f>
        <v>0</v>
      </c>
      <c r="AJ10" s="155">
        <f>'Key Business Variables'!$I7</f>
        <v>0</v>
      </c>
      <c r="AK10" s="155">
        <f>'Key Business Variables'!$I7</f>
        <v>0</v>
      </c>
      <c r="AL10" s="155">
        <f>'Key Business Variables'!$J7</f>
        <v>0</v>
      </c>
      <c r="AM10" s="155">
        <f>'Key Business Variables'!$J7</f>
        <v>0</v>
      </c>
      <c r="AN10" s="155">
        <f>'Key Business Variables'!$J7</f>
        <v>0</v>
      </c>
      <c r="AO10" s="155">
        <f>'Key Business Variables'!$J7</f>
        <v>0</v>
      </c>
      <c r="AP10" s="155">
        <f>'Key Business Variables'!$J7</f>
        <v>0</v>
      </c>
      <c r="AQ10" s="155">
        <f>'Key Business Variables'!$J7</f>
        <v>0</v>
      </c>
      <c r="AR10" s="155">
        <f>'Key Business Variables'!$J7</f>
        <v>0</v>
      </c>
      <c r="AS10" s="155">
        <f>'Key Business Variables'!$J7</f>
        <v>0</v>
      </c>
      <c r="AT10" s="155">
        <f>'Key Business Variables'!$J7</f>
        <v>0</v>
      </c>
      <c r="AU10" s="155">
        <f>'Key Business Variables'!$J7</f>
        <v>0</v>
      </c>
      <c r="AV10" s="155">
        <f>'Key Business Variables'!$J7</f>
        <v>0</v>
      </c>
      <c r="AW10" s="155">
        <f>'Key Business Variables'!$J7</f>
        <v>0</v>
      </c>
    </row>
    <row r="11" spans="1:50" x14ac:dyDescent="0.6">
      <c r="A11" s="51" t="str">
        <f>'Key Business Variables'!E8</f>
        <v>Business Analyst</v>
      </c>
      <c r="B11" s="155">
        <f>'Key Business Variables'!$F8</f>
        <v>0</v>
      </c>
      <c r="C11" s="155">
        <f>'Key Business Variables'!$F8</f>
        <v>0</v>
      </c>
      <c r="D11" s="155">
        <f>'Key Business Variables'!$F8</f>
        <v>0</v>
      </c>
      <c r="E11" s="155">
        <f>'Key Business Variables'!$F8</f>
        <v>0</v>
      </c>
      <c r="F11" s="155">
        <f>'Key Business Variables'!$F8</f>
        <v>0</v>
      </c>
      <c r="G11" s="155">
        <f>'Key Business Variables'!$F8</f>
        <v>0</v>
      </c>
      <c r="H11" s="155">
        <f>'Key Business Variables'!$F8</f>
        <v>0</v>
      </c>
      <c r="I11" s="155">
        <f>'Key Business Variables'!$F8</f>
        <v>0</v>
      </c>
      <c r="J11" s="155">
        <f>'Key Business Variables'!$F8</f>
        <v>0</v>
      </c>
      <c r="K11" s="155">
        <f>'Key Business Variables'!$F8</f>
        <v>0</v>
      </c>
      <c r="L11" s="155">
        <f>'Key Business Variables'!$F8</f>
        <v>0</v>
      </c>
      <c r="M11" s="155">
        <f>'Key Business Variables'!$F8</f>
        <v>0</v>
      </c>
      <c r="N11" s="155">
        <f>'Key Business Variables'!$G8</f>
        <v>0</v>
      </c>
      <c r="O11" s="155">
        <f>'Key Business Variables'!$G8</f>
        <v>0</v>
      </c>
      <c r="P11" s="155">
        <f>'Key Business Variables'!$G8</f>
        <v>0</v>
      </c>
      <c r="Q11" s="155">
        <f>'Key Business Variables'!$G8</f>
        <v>0</v>
      </c>
      <c r="R11" s="155">
        <f>'Key Business Variables'!$G8</f>
        <v>0</v>
      </c>
      <c r="S11" s="155">
        <f>'Key Business Variables'!$G8</f>
        <v>0</v>
      </c>
      <c r="T11" s="155">
        <f>'Key Business Variables'!$G8</f>
        <v>0</v>
      </c>
      <c r="U11" s="155">
        <f>'Key Business Variables'!$G8</f>
        <v>0</v>
      </c>
      <c r="V11" s="155">
        <f>'Key Business Variables'!$G8</f>
        <v>0</v>
      </c>
      <c r="W11" s="155">
        <f>'Key Business Variables'!$G8</f>
        <v>0</v>
      </c>
      <c r="X11" s="155">
        <f>'Key Business Variables'!$G8</f>
        <v>0</v>
      </c>
      <c r="Y11" s="155">
        <f>'Key Business Variables'!$G8</f>
        <v>0</v>
      </c>
      <c r="Z11" s="155">
        <f>'Key Business Variables'!$I8</f>
        <v>0</v>
      </c>
      <c r="AA11" s="155">
        <f>'Key Business Variables'!$I8</f>
        <v>0</v>
      </c>
      <c r="AB11" s="155">
        <f>'Key Business Variables'!$I8</f>
        <v>0</v>
      </c>
      <c r="AC11" s="155">
        <f>'Key Business Variables'!$I8</f>
        <v>0</v>
      </c>
      <c r="AD11" s="155">
        <f>'Key Business Variables'!$I8</f>
        <v>0</v>
      </c>
      <c r="AE11" s="155">
        <f>'Key Business Variables'!$I8</f>
        <v>0</v>
      </c>
      <c r="AF11" s="155">
        <f>'Key Business Variables'!$I8</f>
        <v>0</v>
      </c>
      <c r="AG11" s="155">
        <f>'Key Business Variables'!$I8</f>
        <v>0</v>
      </c>
      <c r="AH11" s="155">
        <f>'Key Business Variables'!$I8</f>
        <v>0</v>
      </c>
      <c r="AI11" s="155">
        <f>'Key Business Variables'!$I8</f>
        <v>0</v>
      </c>
      <c r="AJ11" s="155">
        <f>'Key Business Variables'!$I8</f>
        <v>0</v>
      </c>
      <c r="AK11" s="155">
        <f>'Key Business Variables'!$I8</f>
        <v>0</v>
      </c>
      <c r="AL11" s="155">
        <f>'Key Business Variables'!$J8</f>
        <v>0</v>
      </c>
      <c r="AM11" s="155">
        <f>'Key Business Variables'!$J8</f>
        <v>0</v>
      </c>
      <c r="AN11" s="155">
        <f>'Key Business Variables'!$J8</f>
        <v>0</v>
      </c>
      <c r="AO11" s="155">
        <f>'Key Business Variables'!$J8</f>
        <v>0</v>
      </c>
      <c r="AP11" s="155">
        <f>'Key Business Variables'!$J8</f>
        <v>0</v>
      </c>
      <c r="AQ11" s="155">
        <f>'Key Business Variables'!$J8</f>
        <v>0</v>
      </c>
      <c r="AR11" s="155">
        <f>'Key Business Variables'!$J8</f>
        <v>0</v>
      </c>
      <c r="AS11" s="155">
        <f>'Key Business Variables'!$J8</f>
        <v>0</v>
      </c>
      <c r="AT11" s="155">
        <f>'Key Business Variables'!$J8</f>
        <v>0</v>
      </c>
      <c r="AU11" s="155">
        <f>'Key Business Variables'!$J8</f>
        <v>0</v>
      </c>
      <c r="AV11" s="155">
        <f>'Key Business Variables'!$J8</f>
        <v>0</v>
      </c>
      <c r="AW11" s="155">
        <f>'Key Business Variables'!$J8</f>
        <v>0</v>
      </c>
    </row>
    <row r="12" spans="1:50" x14ac:dyDescent="0.6">
      <c r="A12" s="51" t="str">
        <f>'Key Business Variables'!E11</f>
        <v>Customer Success Manager</v>
      </c>
      <c r="B12" s="155">
        <f>'Key Business Variables'!$F11</f>
        <v>0</v>
      </c>
      <c r="C12" s="155">
        <f>'Key Business Variables'!$F11</f>
        <v>0</v>
      </c>
      <c r="D12" s="155">
        <f>'Key Business Variables'!$F11</f>
        <v>0</v>
      </c>
      <c r="E12" s="155">
        <f>'Key Business Variables'!$F11</f>
        <v>0</v>
      </c>
      <c r="F12" s="155">
        <f>'Key Business Variables'!$F11</f>
        <v>0</v>
      </c>
      <c r="G12" s="155">
        <f>'Key Business Variables'!$F11</f>
        <v>0</v>
      </c>
      <c r="H12" s="155">
        <f>'Key Business Variables'!$F11</f>
        <v>0</v>
      </c>
      <c r="I12" s="155">
        <f>'Key Business Variables'!$F11</f>
        <v>0</v>
      </c>
      <c r="J12" s="155">
        <f>'Key Business Variables'!$F11</f>
        <v>0</v>
      </c>
      <c r="K12" s="155">
        <f>'Key Business Variables'!$F11</f>
        <v>0</v>
      </c>
      <c r="L12" s="155">
        <f>'Key Business Variables'!$F11</f>
        <v>0</v>
      </c>
      <c r="M12" s="155">
        <f>'Key Business Variables'!$F11</f>
        <v>0</v>
      </c>
      <c r="N12" s="155">
        <f>'Key Business Variables'!$G11</f>
        <v>0</v>
      </c>
      <c r="O12" s="155">
        <f>'Key Business Variables'!$G11</f>
        <v>0</v>
      </c>
      <c r="P12" s="155">
        <f>'Key Business Variables'!$G11</f>
        <v>0</v>
      </c>
      <c r="Q12" s="155">
        <f>'Key Business Variables'!$G11</f>
        <v>0</v>
      </c>
      <c r="R12" s="155">
        <f>'Key Business Variables'!$G11</f>
        <v>0</v>
      </c>
      <c r="S12" s="155">
        <f>'Key Business Variables'!$G11</f>
        <v>0</v>
      </c>
      <c r="T12" s="155">
        <f>'Key Business Variables'!$G11</f>
        <v>0</v>
      </c>
      <c r="U12" s="155">
        <f>'Key Business Variables'!$G11</f>
        <v>0</v>
      </c>
      <c r="V12" s="155">
        <f>'Key Business Variables'!$G11</f>
        <v>0</v>
      </c>
      <c r="W12" s="155">
        <f>'Key Business Variables'!$G11</f>
        <v>0</v>
      </c>
      <c r="X12" s="155">
        <f>'Key Business Variables'!$G11</f>
        <v>0</v>
      </c>
      <c r="Y12" s="155">
        <f>'Key Business Variables'!$G11</f>
        <v>0</v>
      </c>
      <c r="Z12" s="155">
        <f>'Key Business Variables'!$I11</f>
        <v>0</v>
      </c>
      <c r="AA12" s="155">
        <f>'Key Business Variables'!$I11</f>
        <v>0</v>
      </c>
      <c r="AB12" s="155">
        <f>'Key Business Variables'!$I11</f>
        <v>0</v>
      </c>
      <c r="AC12" s="155">
        <f>'Key Business Variables'!$I11</f>
        <v>0</v>
      </c>
      <c r="AD12" s="155">
        <f>'Key Business Variables'!$I11</f>
        <v>0</v>
      </c>
      <c r="AE12" s="155">
        <f>'Key Business Variables'!$I11</f>
        <v>0</v>
      </c>
      <c r="AF12" s="155">
        <f>'Key Business Variables'!$I11</f>
        <v>0</v>
      </c>
      <c r="AG12" s="155">
        <f>'Key Business Variables'!$I11</f>
        <v>0</v>
      </c>
      <c r="AH12" s="155">
        <f>'Key Business Variables'!$I11</f>
        <v>0</v>
      </c>
      <c r="AI12" s="155">
        <f>'Key Business Variables'!$I11</f>
        <v>0</v>
      </c>
      <c r="AJ12" s="155">
        <f>'Key Business Variables'!$I11</f>
        <v>0</v>
      </c>
      <c r="AK12" s="155">
        <f>'Key Business Variables'!$I11</f>
        <v>0</v>
      </c>
      <c r="AL12" s="155">
        <f>'Key Business Variables'!$J11</f>
        <v>0</v>
      </c>
      <c r="AM12" s="155">
        <f>'Key Business Variables'!$J11</f>
        <v>0</v>
      </c>
      <c r="AN12" s="155">
        <f>'Key Business Variables'!$J11</f>
        <v>0</v>
      </c>
      <c r="AO12" s="155">
        <f>'Key Business Variables'!$J11</f>
        <v>0</v>
      </c>
      <c r="AP12" s="155">
        <f>'Key Business Variables'!$J11</f>
        <v>0</v>
      </c>
      <c r="AQ12" s="155">
        <f>'Key Business Variables'!$J11</f>
        <v>0</v>
      </c>
      <c r="AR12" s="155">
        <f>'Key Business Variables'!$J11</f>
        <v>0</v>
      </c>
      <c r="AS12" s="155">
        <f>'Key Business Variables'!$J11</f>
        <v>0</v>
      </c>
      <c r="AT12" s="155">
        <f>'Key Business Variables'!$J11</f>
        <v>0</v>
      </c>
      <c r="AU12" s="155">
        <f>'Key Business Variables'!$J11</f>
        <v>0</v>
      </c>
      <c r="AV12" s="155">
        <f>'Key Business Variables'!$J11</f>
        <v>0</v>
      </c>
      <c r="AW12" s="155">
        <f>'Key Business Variables'!$J11</f>
        <v>0</v>
      </c>
    </row>
    <row r="13" spans="1:50" x14ac:dyDescent="0.6">
      <c r="A13" s="51" t="str">
        <f>'Key Business Variables'!E9</f>
        <v>Developer</v>
      </c>
      <c r="B13" s="155">
        <f>'Key Business Variables'!$F9</f>
        <v>0</v>
      </c>
      <c r="C13" s="155">
        <f>'Key Business Variables'!$F9</f>
        <v>0</v>
      </c>
      <c r="D13" s="155">
        <f>'Key Business Variables'!$F9</f>
        <v>0</v>
      </c>
      <c r="E13" s="155">
        <f>'Key Business Variables'!$F9</f>
        <v>0</v>
      </c>
      <c r="F13" s="155">
        <f>'Key Business Variables'!$F9</f>
        <v>0</v>
      </c>
      <c r="G13" s="155">
        <f>'Key Business Variables'!$F9</f>
        <v>0</v>
      </c>
      <c r="H13" s="155">
        <f>'Key Business Variables'!$F9</f>
        <v>0</v>
      </c>
      <c r="I13" s="155">
        <f>'Key Business Variables'!$F9</f>
        <v>0</v>
      </c>
      <c r="J13" s="155">
        <f>'Key Business Variables'!$F9</f>
        <v>0</v>
      </c>
      <c r="K13" s="155">
        <f>'Key Business Variables'!$F9</f>
        <v>0</v>
      </c>
      <c r="L13" s="155">
        <f>'Key Business Variables'!$F9</f>
        <v>0</v>
      </c>
      <c r="M13" s="155">
        <f>'Key Business Variables'!$F9</f>
        <v>0</v>
      </c>
      <c r="N13" s="155">
        <f>'Key Business Variables'!$G9</f>
        <v>0</v>
      </c>
      <c r="O13" s="155">
        <f>'Key Business Variables'!$G9</f>
        <v>0</v>
      </c>
      <c r="P13" s="155">
        <f>'Key Business Variables'!$G9</f>
        <v>0</v>
      </c>
      <c r="Q13" s="155">
        <f>'Key Business Variables'!$G9</f>
        <v>0</v>
      </c>
      <c r="R13" s="155">
        <f>'Key Business Variables'!$G9</f>
        <v>0</v>
      </c>
      <c r="S13" s="155">
        <f>'Key Business Variables'!$G9</f>
        <v>0</v>
      </c>
      <c r="T13" s="155">
        <f>'Key Business Variables'!$G9</f>
        <v>0</v>
      </c>
      <c r="U13" s="155">
        <f>'Key Business Variables'!$G9</f>
        <v>0</v>
      </c>
      <c r="V13" s="155">
        <f>'Key Business Variables'!$G9</f>
        <v>0</v>
      </c>
      <c r="W13" s="155">
        <f>'Key Business Variables'!$G9</f>
        <v>0</v>
      </c>
      <c r="X13" s="155">
        <f>'Key Business Variables'!$G9</f>
        <v>0</v>
      </c>
      <c r="Y13" s="155">
        <f>'Key Business Variables'!$G9</f>
        <v>0</v>
      </c>
      <c r="Z13" s="155">
        <f>'Key Business Variables'!$I9</f>
        <v>0</v>
      </c>
      <c r="AA13" s="155">
        <f>'Key Business Variables'!$I9</f>
        <v>0</v>
      </c>
      <c r="AB13" s="155">
        <f>'Key Business Variables'!$I9</f>
        <v>0</v>
      </c>
      <c r="AC13" s="155">
        <f>'Key Business Variables'!$I9</f>
        <v>0</v>
      </c>
      <c r="AD13" s="155">
        <f>'Key Business Variables'!$I9</f>
        <v>0</v>
      </c>
      <c r="AE13" s="155">
        <f>'Key Business Variables'!$I9</f>
        <v>0</v>
      </c>
      <c r="AF13" s="155">
        <f>'Key Business Variables'!$I9</f>
        <v>0</v>
      </c>
      <c r="AG13" s="155">
        <f>'Key Business Variables'!$I9</f>
        <v>0</v>
      </c>
      <c r="AH13" s="155">
        <f>'Key Business Variables'!$I9</f>
        <v>0</v>
      </c>
      <c r="AI13" s="155">
        <f>'Key Business Variables'!$I9</f>
        <v>0</v>
      </c>
      <c r="AJ13" s="155">
        <f>'Key Business Variables'!$I9</f>
        <v>0</v>
      </c>
      <c r="AK13" s="155">
        <f>'Key Business Variables'!$I9</f>
        <v>0</v>
      </c>
      <c r="AL13" s="155">
        <f>'Key Business Variables'!$J9</f>
        <v>0</v>
      </c>
      <c r="AM13" s="155">
        <f>'Key Business Variables'!$J9</f>
        <v>0</v>
      </c>
      <c r="AN13" s="155">
        <f>'Key Business Variables'!$J9</f>
        <v>0</v>
      </c>
      <c r="AO13" s="155">
        <f>'Key Business Variables'!$J9</f>
        <v>0</v>
      </c>
      <c r="AP13" s="155">
        <f>'Key Business Variables'!$J9</f>
        <v>0</v>
      </c>
      <c r="AQ13" s="155">
        <f>'Key Business Variables'!$J9</f>
        <v>0</v>
      </c>
      <c r="AR13" s="155">
        <f>'Key Business Variables'!$J9</f>
        <v>0</v>
      </c>
      <c r="AS13" s="155">
        <f>'Key Business Variables'!$J9</f>
        <v>0</v>
      </c>
      <c r="AT13" s="155">
        <f>'Key Business Variables'!$J9</f>
        <v>0</v>
      </c>
      <c r="AU13" s="155">
        <f>'Key Business Variables'!$J9</f>
        <v>0</v>
      </c>
      <c r="AV13" s="155">
        <f>'Key Business Variables'!$J9</f>
        <v>0</v>
      </c>
      <c r="AW13" s="155">
        <f>'Key Business Variables'!$J9</f>
        <v>0</v>
      </c>
    </row>
    <row r="14" spans="1:50" x14ac:dyDescent="0.6">
      <c r="A14" s="51" t="str">
        <f>'Key Business Variables'!E12</f>
        <v>Onboarding Specialist</v>
      </c>
      <c r="B14" s="155">
        <f>'Key Business Variables'!$F12</f>
        <v>1</v>
      </c>
      <c r="C14" s="155">
        <f>'Key Business Variables'!$F12</f>
        <v>1</v>
      </c>
      <c r="D14" s="155">
        <f>'Key Business Variables'!$F12</f>
        <v>1</v>
      </c>
      <c r="E14" s="155">
        <f>'Key Business Variables'!$F12</f>
        <v>1</v>
      </c>
      <c r="F14" s="155">
        <f>'Key Business Variables'!$F12</f>
        <v>1</v>
      </c>
      <c r="G14" s="155">
        <f>'Key Business Variables'!$F12</f>
        <v>1</v>
      </c>
      <c r="H14" s="155">
        <f>'Key Business Variables'!$F12</f>
        <v>1</v>
      </c>
      <c r="I14" s="155">
        <f>'Key Business Variables'!$F12</f>
        <v>1</v>
      </c>
      <c r="J14" s="155">
        <f>'Key Business Variables'!$F12</f>
        <v>1</v>
      </c>
      <c r="K14" s="155">
        <f>'Key Business Variables'!$F12</f>
        <v>1</v>
      </c>
      <c r="L14" s="155">
        <f>'Key Business Variables'!$F12</f>
        <v>1</v>
      </c>
      <c r="M14" s="155">
        <f>'Key Business Variables'!$F12</f>
        <v>1</v>
      </c>
      <c r="N14" s="155">
        <f>'Key Business Variables'!$G12</f>
        <v>1</v>
      </c>
      <c r="O14" s="155">
        <f>'Key Business Variables'!$G12</f>
        <v>1</v>
      </c>
      <c r="P14" s="155">
        <f>'Key Business Variables'!$G12</f>
        <v>1</v>
      </c>
      <c r="Q14" s="155">
        <f>'Key Business Variables'!$G12</f>
        <v>1</v>
      </c>
      <c r="R14" s="155">
        <f>'Key Business Variables'!$G12</f>
        <v>1</v>
      </c>
      <c r="S14" s="155">
        <f>'Key Business Variables'!$G12</f>
        <v>1</v>
      </c>
      <c r="T14" s="155">
        <f>'Key Business Variables'!$G12</f>
        <v>1</v>
      </c>
      <c r="U14" s="155">
        <f>'Key Business Variables'!$G12</f>
        <v>1</v>
      </c>
      <c r="V14" s="155">
        <f>'Key Business Variables'!$G12</f>
        <v>1</v>
      </c>
      <c r="W14" s="155">
        <f>'Key Business Variables'!$G12</f>
        <v>1</v>
      </c>
      <c r="X14" s="155">
        <f>'Key Business Variables'!$G12</f>
        <v>1</v>
      </c>
      <c r="Y14" s="155">
        <f>'Key Business Variables'!$G12</f>
        <v>1</v>
      </c>
      <c r="Z14" s="155">
        <f>'Key Business Variables'!$I12</f>
        <v>1</v>
      </c>
      <c r="AA14" s="155">
        <f>'Key Business Variables'!$I12</f>
        <v>1</v>
      </c>
      <c r="AB14" s="155">
        <f>'Key Business Variables'!$I12</f>
        <v>1</v>
      </c>
      <c r="AC14" s="155">
        <f>'Key Business Variables'!$I12</f>
        <v>1</v>
      </c>
      <c r="AD14" s="155">
        <f>'Key Business Variables'!$I12</f>
        <v>1</v>
      </c>
      <c r="AE14" s="155">
        <f>'Key Business Variables'!$I12</f>
        <v>1</v>
      </c>
      <c r="AF14" s="155">
        <f>'Key Business Variables'!$I12</f>
        <v>1</v>
      </c>
      <c r="AG14" s="155">
        <f>'Key Business Variables'!$I12</f>
        <v>1</v>
      </c>
      <c r="AH14" s="155">
        <f>'Key Business Variables'!$I12</f>
        <v>1</v>
      </c>
      <c r="AI14" s="155">
        <f>'Key Business Variables'!$I12</f>
        <v>1</v>
      </c>
      <c r="AJ14" s="155">
        <f>'Key Business Variables'!$I12</f>
        <v>1</v>
      </c>
      <c r="AK14" s="155">
        <f>'Key Business Variables'!$I12</f>
        <v>1</v>
      </c>
      <c r="AL14" s="155">
        <f>'Key Business Variables'!$J12</f>
        <v>1</v>
      </c>
      <c r="AM14" s="155">
        <f>'Key Business Variables'!$J12</f>
        <v>1</v>
      </c>
      <c r="AN14" s="155">
        <f>'Key Business Variables'!$J12</f>
        <v>1</v>
      </c>
      <c r="AO14" s="155">
        <f>'Key Business Variables'!$J12</f>
        <v>1</v>
      </c>
      <c r="AP14" s="155">
        <f>'Key Business Variables'!$J12</f>
        <v>1</v>
      </c>
      <c r="AQ14" s="155">
        <f>'Key Business Variables'!$J12</f>
        <v>1</v>
      </c>
      <c r="AR14" s="155">
        <f>'Key Business Variables'!$J12</f>
        <v>1</v>
      </c>
      <c r="AS14" s="155">
        <f>'Key Business Variables'!$J12</f>
        <v>1</v>
      </c>
      <c r="AT14" s="155">
        <f>'Key Business Variables'!$J12</f>
        <v>1</v>
      </c>
      <c r="AU14" s="155">
        <f>'Key Business Variables'!$J12</f>
        <v>1</v>
      </c>
      <c r="AV14" s="155">
        <f>'Key Business Variables'!$J12</f>
        <v>1</v>
      </c>
      <c r="AW14" s="155">
        <f>'Key Business Variables'!$J12</f>
        <v>1</v>
      </c>
    </row>
    <row r="15" spans="1:50" x14ac:dyDescent="0.6">
      <c r="A15" s="51" t="str">
        <f>'Key Business Variables'!E13</f>
        <v>Business Development Rep</v>
      </c>
      <c r="B15" s="155">
        <f>'Key Business Variables'!$F13</f>
        <v>1</v>
      </c>
      <c r="C15" s="155">
        <f>'Key Business Variables'!$F13</f>
        <v>1</v>
      </c>
      <c r="D15" s="155">
        <f>'Key Business Variables'!$F13</f>
        <v>1</v>
      </c>
      <c r="E15" s="155">
        <f>'Key Business Variables'!$F13</f>
        <v>1</v>
      </c>
      <c r="F15" s="155">
        <f>'Key Business Variables'!$F13</f>
        <v>1</v>
      </c>
      <c r="G15" s="155">
        <f>'Key Business Variables'!$F13</f>
        <v>1</v>
      </c>
      <c r="H15" s="155">
        <f>'Key Business Variables'!$F13</f>
        <v>1</v>
      </c>
      <c r="I15" s="155">
        <f>'Key Business Variables'!$F13</f>
        <v>1</v>
      </c>
      <c r="J15" s="155">
        <f>'Key Business Variables'!$F13</f>
        <v>1</v>
      </c>
      <c r="K15" s="155">
        <f>'Key Business Variables'!$F13</f>
        <v>1</v>
      </c>
      <c r="L15" s="155">
        <f>'Key Business Variables'!$F13</f>
        <v>1</v>
      </c>
      <c r="M15" s="155">
        <f>'Key Business Variables'!$F13</f>
        <v>1</v>
      </c>
      <c r="N15" s="155">
        <f>'Key Business Variables'!$G13</f>
        <v>1</v>
      </c>
      <c r="O15" s="155">
        <f>'Key Business Variables'!$G13</f>
        <v>1</v>
      </c>
      <c r="P15" s="155">
        <f>'Key Business Variables'!$G13</f>
        <v>1</v>
      </c>
      <c r="Q15" s="155">
        <f>'Key Business Variables'!$G13</f>
        <v>1</v>
      </c>
      <c r="R15" s="155">
        <f>'Key Business Variables'!$G13</f>
        <v>1</v>
      </c>
      <c r="S15" s="155">
        <f>'Key Business Variables'!$G13</f>
        <v>1</v>
      </c>
      <c r="T15" s="155">
        <f>'Key Business Variables'!$G13</f>
        <v>1</v>
      </c>
      <c r="U15" s="155">
        <f>'Key Business Variables'!$G13</f>
        <v>1</v>
      </c>
      <c r="V15" s="155">
        <f>'Key Business Variables'!$G13</f>
        <v>1</v>
      </c>
      <c r="W15" s="155">
        <f>'Key Business Variables'!$G13</f>
        <v>1</v>
      </c>
      <c r="X15" s="155">
        <f>'Key Business Variables'!$G13</f>
        <v>1</v>
      </c>
      <c r="Y15" s="155">
        <f>'Key Business Variables'!$G13</f>
        <v>1</v>
      </c>
      <c r="Z15" s="155">
        <f>'Key Business Variables'!$I13</f>
        <v>1</v>
      </c>
      <c r="AA15" s="155">
        <f>'Key Business Variables'!$I13</f>
        <v>1</v>
      </c>
      <c r="AB15" s="155">
        <f>'Key Business Variables'!$I13</f>
        <v>1</v>
      </c>
      <c r="AC15" s="155">
        <f>'Key Business Variables'!$I13</f>
        <v>1</v>
      </c>
      <c r="AD15" s="155">
        <f>'Key Business Variables'!$I13</f>
        <v>1</v>
      </c>
      <c r="AE15" s="155">
        <f>'Key Business Variables'!$I13</f>
        <v>1</v>
      </c>
      <c r="AF15" s="155">
        <f>'Key Business Variables'!$I13</f>
        <v>1</v>
      </c>
      <c r="AG15" s="155">
        <f>'Key Business Variables'!$I13</f>
        <v>1</v>
      </c>
      <c r="AH15" s="155">
        <f>'Key Business Variables'!$I13</f>
        <v>1</v>
      </c>
      <c r="AI15" s="155">
        <f>'Key Business Variables'!$I13</f>
        <v>1</v>
      </c>
      <c r="AJ15" s="155">
        <f>'Key Business Variables'!$I13</f>
        <v>1</v>
      </c>
      <c r="AK15" s="155">
        <f>'Key Business Variables'!$I13</f>
        <v>1</v>
      </c>
      <c r="AL15" s="155">
        <f>'Key Business Variables'!$J13</f>
        <v>1</v>
      </c>
      <c r="AM15" s="155">
        <f>'Key Business Variables'!$J13</f>
        <v>1</v>
      </c>
      <c r="AN15" s="155">
        <f>'Key Business Variables'!$J13</f>
        <v>1</v>
      </c>
      <c r="AO15" s="155">
        <f>'Key Business Variables'!$J13</f>
        <v>1</v>
      </c>
      <c r="AP15" s="155">
        <f>'Key Business Variables'!$J13</f>
        <v>1</v>
      </c>
      <c r="AQ15" s="155">
        <f>'Key Business Variables'!$J13</f>
        <v>1</v>
      </c>
      <c r="AR15" s="155">
        <f>'Key Business Variables'!$J13</f>
        <v>1</v>
      </c>
      <c r="AS15" s="155">
        <f>'Key Business Variables'!$J13</f>
        <v>1</v>
      </c>
      <c r="AT15" s="155">
        <f>'Key Business Variables'!$J13</f>
        <v>1</v>
      </c>
      <c r="AU15" s="155">
        <f>'Key Business Variables'!$J13</f>
        <v>1</v>
      </c>
      <c r="AV15" s="155">
        <f>'Key Business Variables'!$J13</f>
        <v>1</v>
      </c>
      <c r="AW15" s="155">
        <f>'Key Business Variables'!$J13</f>
        <v>1</v>
      </c>
    </row>
    <row r="16" spans="1:50" x14ac:dyDescent="0.6">
      <c r="A16" s="51" t="str">
        <f>'Key Business Variables'!E10</f>
        <v>Demand Generation Marketing</v>
      </c>
      <c r="B16" s="155">
        <f>'Key Business Variables'!$F10</f>
        <v>0</v>
      </c>
      <c r="C16" s="155">
        <f>'Key Business Variables'!$F10</f>
        <v>0</v>
      </c>
      <c r="D16" s="155">
        <f>'Key Business Variables'!$F10</f>
        <v>0</v>
      </c>
      <c r="E16" s="155">
        <f>'Key Business Variables'!$F10</f>
        <v>0</v>
      </c>
      <c r="F16" s="155">
        <f>'Key Business Variables'!$F10</f>
        <v>0</v>
      </c>
      <c r="G16" s="155">
        <f>'Key Business Variables'!$F10</f>
        <v>0</v>
      </c>
      <c r="H16" s="155">
        <f>'Key Business Variables'!$F10</f>
        <v>0</v>
      </c>
      <c r="I16" s="155">
        <f>'Key Business Variables'!$F10</f>
        <v>0</v>
      </c>
      <c r="J16" s="155">
        <f>'Key Business Variables'!$F10</f>
        <v>0</v>
      </c>
      <c r="K16" s="155">
        <f>'Key Business Variables'!$F10</f>
        <v>0</v>
      </c>
      <c r="L16" s="155">
        <f>'Key Business Variables'!$F10</f>
        <v>0</v>
      </c>
      <c r="M16" s="155">
        <f>'Key Business Variables'!$F10</f>
        <v>0</v>
      </c>
      <c r="N16" s="155">
        <f>'Key Business Variables'!$G10</f>
        <v>0</v>
      </c>
      <c r="O16" s="155">
        <f>'Key Business Variables'!$G10</f>
        <v>0</v>
      </c>
      <c r="P16" s="155">
        <f>'Key Business Variables'!$G10</f>
        <v>0</v>
      </c>
      <c r="Q16" s="155">
        <f>'Key Business Variables'!$G10</f>
        <v>0</v>
      </c>
      <c r="R16" s="155">
        <f>'Key Business Variables'!$G10</f>
        <v>0</v>
      </c>
      <c r="S16" s="155">
        <f>'Key Business Variables'!$G10</f>
        <v>0</v>
      </c>
      <c r="T16" s="155">
        <f>'Key Business Variables'!$G10</f>
        <v>0</v>
      </c>
      <c r="U16" s="155">
        <f>'Key Business Variables'!$G10</f>
        <v>0</v>
      </c>
      <c r="V16" s="155">
        <f>'Key Business Variables'!$G10</f>
        <v>0</v>
      </c>
      <c r="W16" s="155">
        <f>'Key Business Variables'!$G10</f>
        <v>0</v>
      </c>
      <c r="X16" s="155">
        <f>'Key Business Variables'!$G10</f>
        <v>0</v>
      </c>
      <c r="Y16" s="155">
        <f>'Key Business Variables'!$G10</f>
        <v>0</v>
      </c>
      <c r="Z16" s="155">
        <f>'Key Business Variables'!$I10</f>
        <v>0</v>
      </c>
      <c r="AA16" s="155">
        <f>'Key Business Variables'!$I10</f>
        <v>0</v>
      </c>
      <c r="AB16" s="155">
        <f>'Key Business Variables'!$I10</f>
        <v>0</v>
      </c>
      <c r="AC16" s="155">
        <f>'Key Business Variables'!$I10</f>
        <v>0</v>
      </c>
      <c r="AD16" s="155">
        <f>'Key Business Variables'!$I10</f>
        <v>0</v>
      </c>
      <c r="AE16" s="155">
        <f>'Key Business Variables'!$I10</f>
        <v>0</v>
      </c>
      <c r="AF16" s="155">
        <f>'Key Business Variables'!$I10</f>
        <v>0</v>
      </c>
      <c r="AG16" s="155">
        <f>'Key Business Variables'!$I10</f>
        <v>0</v>
      </c>
      <c r="AH16" s="155">
        <f>'Key Business Variables'!$I10</f>
        <v>0</v>
      </c>
      <c r="AI16" s="155">
        <f>'Key Business Variables'!$I10</f>
        <v>0</v>
      </c>
      <c r="AJ16" s="155">
        <f>'Key Business Variables'!$I10</f>
        <v>0</v>
      </c>
      <c r="AK16" s="155">
        <f>'Key Business Variables'!$I10</f>
        <v>0</v>
      </c>
      <c r="AL16" s="155">
        <f>'Key Business Variables'!$J10</f>
        <v>0</v>
      </c>
      <c r="AM16" s="155">
        <f>'Key Business Variables'!$J10</f>
        <v>0</v>
      </c>
      <c r="AN16" s="155">
        <f>'Key Business Variables'!$J10</f>
        <v>0</v>
      </c>
      <c r="AO16" s="155">
        <f>'Key Business Variables'!$J10</f>
        <v>0</v>
      </c>
      <c r="AP16" s="155">
        <f>'Key Business Variables'!$J10</f>
        <v>0</v>
      </c>
      <c r="AQ16" s="155">
        <f>'Key Business Variables'!$J10</f>
        <v>0</v>
      </c>
      <c r="AR16" s="155">
        <f>'Key Business Variables'!$J10</f>
        <v>0</v>
      </c>
      <c r="AS16" s="155">
        <f>'Key Business Variables'!$J10</f>
        <v>0</v>
      </c>
      <c r="AT16" s="155">
        <f>'Key Business Variables'!$J10</f>
        <v>0</v>
      </c>
      <c r="AU16" s="155">
        <f>'Key Business Variables'!$J10</f>
        <v>0</v>
      </c>
      <c r="AV16" s="155">
        <f>'Key Business Variables'!$J10</f>
        <v>0</v>
      </c>
      <c r="AW16" s="155">
        <f>'Key Business Variables'!$J10</f>
        <v>0</v>
      </c>
    </row>
    <row r="18" spans="2:12" x14ac:dyDescent="0.6">
      <c r="B18" s="153" t="s">
        <v>151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</row>
    <row r="19" spans="2:12" x14ac:dyDescent="0.6">
      <c r="B19" s="153" t="s">
        <v>152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spans="2:12" x14ac:dyDescent="0.6">
      <c r="B20" s="153" t="s">
        <v>153</v>
      </c>
      <c r="C20" s="153"/>
      <c r="D20" s="154"/>
      <c r="E20" s="154"/>
      <c r="F20" s="154"/>
      <c r="G20" s="154"/>
      <c r="H20" s="154"/>
      <c r="I20" s="154"/>
      <c r="J20" s="154"/>
      <c r="K20" s="154"/>
      <c r="L20" s="15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AY96"/>
  <sheetViews>
    <sheetView showGridLines="0" zoomScale="80" zoomScaleNormal="80" workbookViewId="0">
      <pane xSplit="1" ySplit="2" topLeftCell="G65" activePane="bottomRight" state="frozen"/>
      <selection pane="topRight" activeCell="B1" sqref="B1"/>
      <selection pane="bottomLeft" activeCell="A3" sqref="A3"/>
      <selection pane="bottomRight" activeCell="M110" sqref="M110"/>
    </sheetView>
  </sheetViews>
  <sheetFormatPr defaultColWidth="9.19921875" defaultRowHeight="16.5" x14ac:dyDescent="0.6"/>
  <cols>
    <col min="1" max="1" width="77.796875" style="58" customWidth="1"/>
    <col min="2" max="10" width="12.73046875" style="58" customWidth="1"/>
    <col min="11" max="11" width="13.796875" style="58" customWidth="1"/>
    <col min="12" max="12" width="14.59765625" style="58" customWidth="1"/>
    <col min="13" max="13" width="12.73046875" style="58" customWidth="1"/>
    <col min="14" max="14" width="16.46484375" style="58" customWidth="1"/>
    <col min="15" max="49" width="12.73046875" style="58" customWidth="1"/>
    <col min="50" max="50" width="10.796875" style="58" bestFit="1" customWidth="1"/>
    <col min="51" max="16384" width="9.19921875" style="58"/>
  </cols>
  <sheetData>
    <row r="1" spans="1:51" ht="20.25" x14ac:dyDescent="0.7">
      <c r="B1" s="259" t="s">
        <v>13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</row>
    <row r="2" spans="1:51" hidden="1" x14ac:dyDescent="0.6">
      <c r="A2" s="58" t="s">
        <v>13</v>
      </c>
      <c r="B2" s="59">
        <v>1</v>
      </c>
      <c r="C2" s="59">
        <v>2</v>
      </c>
      <c r="D2" s="59">
        <v>3</v>
      </c>
      <c r="E2" s="59">
        <v>4</v>
      </c>
      <c r="F2" s="59">
        <v>5</v>
      </c>
      <c r="G2" s="59">
        <v>6</v>
      </c>
      <c r="H2" s="59">
        <v>7</v>
      </c>
      <c r="I2" s="59">
        <v>8</v>
      </c>
      <c r="J2" s="59">
        <v>9</v>
      </c>
      <c r="K2" s="59">
        <v>10</v>
      </c>
      <c r="L2" s="59">
        <v>11</v>
      </c>
      <c r="M2" s="59">
        <v>12</v>
      </c>
      <c r="N2" s="59">
        <v>13</v>
      </c>
      <c r="O2" s="59">
        <v>14</v>
      </c>
      <c r="P2" s="59">
        <v>15</v>
      </c>
      <c r="Q2" s="59">
        <v>16</v>
      </c>
      <c r="R2" s="59">
        <v>17</v>
      </c>
      <c r="S2" s="59">
        <v>18</v>
      </c>
      <c r="T2" s="59">
        <v>19</v>
      </c>
      <c r="U2" s="59">
        <v>20</v>
      </c>
      <c r="V2" s="59">
        <v>21</v>
      </c>
      <c r="W2" s="59">
        <v>22</v>
      </c>
      <c r="X2" s="59">
        <v>23</v>
      </c>
      <c r="Y2" s="59">
        <v>24</v>
      </c>
      <c r="Z2" s="59">
        <v>25</v>
      </c>
      <c r="AA2" s="59">
        <v>26</v>
      </c>
      <c r="AB2" s="59">
        <v>27</v>
      </c>
      <c r="AC2" s="59">
        <v>28</v>
      </c>
      <c r="AD2" s="59">
        <v>29</v>
      </c>
      <c r="AE2" s="59">
        <v>30</v>
      </c>
      <c r="AF2" s="59">
        <v>31</v>
      </c>
      <c r="AG2" s="59">
        <v>32</v>
      </c>
      <c r="AH2" s="59">
        <v>33</v>
      </c>
      <c r="AI2" s="59">
        <v>34</v>
      </c>
      <c r="AJ2" s="59">
        <v>35</v>
      </c>
      <c r="AK2" s="59">
        <v>36</v>
      </c>
      <c r="AL2" s="59">
        <v>37</v>
      </c>
      <c r="AM2" s="59">
        <v>38</v>
      </c>
      <c r="AN2" s="59">
        <v>39</v>
      </c>
      <c r="AO2" s="59">
        <v>40</v>
      </c>
      <c r="AP2" s="59">
        <v>41</v>
      </c>
      <c r="AQ2" s="59">
        <v>42</v>
      </c>
      <c r="AR2" s="59">
        <v>43</v>
      </c>
      <c r="AS2" s="59">
        <v>44</v>
      </c>
      <c r="AT2" s="59">
        <v>45</v>
      </c>
      <c r="AU2" s="59">
        <v>46</v>
      </c>
      <c r="AV2" s="59">
        <v>47</v>
      </c>
      <c r="AW2" s="59">
        <v>48</v>
      </c>
    </row>
    <row r="3" spans="1:51" hidden="1" x14ac:dyDescent="0.6"/>
    <row r="4" spans="1:51" hidden="1" x14ac:dyDescent="0.6">
      <c r="A4" s="61" t="s">
        <v>56</v>
      </c>
      <c r="B4" s="62">
        <f>'Fine Tuning'!B4</f>
        <v>1.25</v>
      </c>
      <c r="C4" s="62">
        <f>B4+'Fine Tuning'!C4</f>
        <v>2.5</v>
      </c>
      <c r="D4" s="63">
        <f>C4+'Fine Tuning'!D4</f>
        <v>3.75</v>
      </c>
      <c r="E4" s="63">
        <f>D4+'Fine Tuning'!E4</f>
        <v>5</v>
      </c>
      <c r="F4" s="63">
        <f>E4+'Fine Tuning'!F4</f>
        <v>6.25</v>
      </c>
      <c r="G4" s="63">
        <f>F4+'Fine Tuning'!G4</f>
        <v>7.5</v>
      </c>
      <c r="H4" s="63">
        <f>G4+'Fine Tuning'!H4</f>
        <v>8.75</v>
      </c>
      <c r="I4" s="63">
        <f>H4+'Fine Tuning'!I4</f>
        <v>10</v>
      </c>
      <c r="J4" s="63">
        <f>I4+'Fine Tuning'!J4</f>
        <v>11.25</v>
      </c>
      <c r="K4" s="63">
        <f>J4+'Fine Tuning'!K4</f>
        <v>12.5</v>
      </c>
      <c r="L4" s="63">
        <f>K4+'Fine Tuning'!L4</f>
        <v>13.75</v>
      </c>
      <c r="M4" s="63">
        <f>L4+'Fine Tuning'!M4</f>
        <v>15</v>
      </c>
      <c r="N4" s="63">
        <f>M4+'Fine Tuning'!N4-('Fine Tuning'!B4*'Key Business Variables'!$J$31)</f>
        <v>16.1875</v>
      </c>
      <c r="O4" s="63">
        <f>N4+'Fine Tuning'!O4-('Fine Tuning'!C4*'Key Business Variables'!$J$31)</f>
        <v>17.375</v>
      </c>
      <c r="P4" s="63">
        <f>O4+'Fine Tuning'!P4-('Fine Tuning'!D4*'Key Business Variables'!$J$31)</f>
        <v>18.5625</v>
      </c>
      <c r="Q4" s="63">
        <f>P4+'Fine Tuning'!Q4-('Fine Tuning'!E4*'Key Business Variables'!$J$31)</f>
        <v>19.75</v>
      </c>
      <c r="R4" s="63">
        <f>Q4+'Fine Tuning'!R4-('Fine Tuning'!F4*'Key Business Variables'!$J$31)</f>
        <v>20.9375</v>
      </c>
      <c r="S4" s="63">
        <f>R4+'Fine Tuning'!S4-('Fine Tuning'!G4*'Key Business Variables'!$J$31)</f>
        <v>22.125</v>
      </c>
      <c r="T4" s="63">
        <f>S4+'Fine Tuning'!T4-('Fine Tuning'!H4*'Key Business Variables'!$J$31)</f>
        <v>23.3125</v>
      </c>
      <c r="U4" s="63">
        <f>T4+'Fine Tuning'!U4-('Fine Tuning'!I4*'Key Business Variables'!$J$31)</f>
        <v>24.5</v>
      </c>
      <c r="V4" s="63">
        <f>U4+'Fine Tuning'!V4-('Fine Tuning'!J4*'Key Business Variables'!$J$31)</f>
        <v>25.6875</v>
      </c>
      <c r="W4" s="63">
        <f>V4+'Fine Tuning'!W4-('Fine Tuning'!K4*'Key Business Variables'!$J$31)</f>
        <v>26.875</v>
      </c>
      <c r="X4" s="63">
        <f>W4+'Fine Tuning'!X4-('Fine Tuning'!L4*'Key Business Variables'!$J$31)</f>
        <v>28.0625</v>
      </c>
      <c r="Y4" s="63">
        <f>X4+'Fine Tuning'!Y4-('Fine Tuning'!M4*'Key Business Variables'!$J$31)</f>
        <v>29.25</v>
      </c>
      <c r="Z4" s="63">
        <f>Y4+'Fine Tuning'!Z4-('Fine Tuning'!N4*'Key Business Variables'!$J$31)</f>
        <v>30.4375</v>
      </c>
      <c r="AA4" s="63">
        <f>Z4+'Fine Tuning'!AA4-('Fine Tuning'!O4*'Key Business Variables'!$J$31)</f>
        <v>31.625</v>
      </c>
      <c r="AB4" s="63">
        <f>AA4+'Fine Tuning'!AB4-('Fine Tuning'!P4*'Key Business Variables'!$J$31)</f>
        <v>32.8125</v>
      </c>
      <c r="AC4" s="63">
        <f>AB4+'Fine Tuning'!AC4-('Fine Tuning'!Q4*'Key Business Variables'!$J$31)</f>
        <v>34</v>
      </c>
      <c r="AD4" s="63">
        <f>AC4+'Fine Tuning'!AD4-('Fine Tuning'!R4*'Key Business Variables'!$J$31)</f>
        <v>35.1875</v>
      </c>
      <c r="AE4" s="63">
        <f>AD4+'Fine Tuning'!AE4-('Fine Tuning'!S4*'Key Business Variables'!$J$31)</f>
        <v>36.375</v>
      </c>
      <c r="AF4" s="63">
        <f>AE4+'Fine Tuning'!AF4-('Fine Tuning'!T4*'Key Business Variables'!$J$31)</f>
        <v>37.5625</v>
      </c>
      <c r="AG4" s="63">
        <f>AF4+'Fine Tuning'!AG4-('Fine Tuning'!U4*'Key Business Variables'!$J$31)</f>
        <v>38.75</v>
      </c>
      <c r="AH4" s="63">
        <f>AG4+'Fine Tuning'!AH4-('Fine Tuning'!V4*'Key Business Variables'!$J$31)</f>
        <v>39.9375</v>
      </c>
      <c r="AI4" s="63">
        <f>AH4+'Fine Tuning'!AI4-('Fine Tuning'!W4*'Key Business Variables'!$J$31)</f>
        <v>41.125</v>
      </c>
      <c r="AJ4" s="63">
        <f>AI4+'Fine Tuning'!AJ4-('Fine Tuning'!X4*'Key Business Variables'!$J$31)</f>
        <v>42.3125</v>
      </c>
      <c r="AK4" s="63">
        <f>AJ4+'Fine Tuning'!AK4-('Fine Tuning'!Y4*'Key Business Variables'!$J$31)</f>
        <v>43.5</v>
      </c>
      <c r="AL4" s="63">
        <f>AK4+'Fine Tuning'!AL4-('Fine Tuning'!Z4*'Key Business Variables'!$J$31)</f>
        <v>44.6875</v>
      </c>
      <c r="AM4" s="63">
        <f>AL4+'Fine Tuning'!AM4-('Fine Tuning'!AA4*'Key Business Variables'!$J$31)</f>
        <v>45.875</v>
      </c>
      <c r="AN4" s="63">
        <f>AM4+'Fine Tuning'!AN4-('Fine Tuning'!AB4*'Key Business Variables'!$J$31)</f>
        <v>47.0625</v>
      </c>
      <c r="AO4" s="63">
        <f>AN4+'Fine Tuning'!AO4-('Fine Tuning'!AC4*'Key Business Variables'!$J$31)</f>
        <v>48.25</v>
      </c>
      <c r="AP4" s="63">
        <f>AO4+'Fine Tuning'!AP4-('Fine Tuning'!AD4*'Key Business Variables'!$J$31)</f>
        <v>49.4375</v>
      </c>
      <c r="AQ4" s="63">
        <f>AP4+'Fine Tuning'!AQ4-('Fine Tuning'!AE4*'Key Business Variables'!$J$31)</f>
        <v>50.625</v>
      </c>
      <c r="AR4" s="63">
        <f>AQ4+'Fine Tuning'!AR4-('Fine Tuning'!AF4*'Key Business Variables'!$J$31)</f>
        <v>51.8125</v>
      </c>
      <c r="AS4" s="63">
        <f>AR4+'Fine Tuning'!AS4-('Fine Tuning'!AG4*'Key Business Variables'!$J$31)</f>
        <v>53</v>
      </c>
      <c r="AT4" s="63">
        <f>AS4+'Fine Tuning'!AT4-('Fine Tuning'!AH4*'Key Business Variables'!$J$31)</f>
        <v>54.1875</v>
      </c>
      <c r="AU4" s="63">
        <f>AT4+'Fine Tuning'!AU4-('Fine Tuning'!AI4*'Key Business Variables'!$J$31)</f>
        <v>55.375</v>
      </c>
      <c r="AV4" s="63">
        <f>AU4+'Fine Tuning'!AV4-('Fine Tuning'!AJ4*'Key Business Variables'!$J$31)</f>
        <v>56.5625</v>
      </c>
      <c r="AW4" s="63">
        <f>AV4+'Fine Tuning'!AW4-('Fine Tuning'!AK4*'Key Business Variables'!$J$31)</f>
        <v>57.75</v>
      </c>
    </row>
    <row r="5" spans="1:51" hidden="1" x14ac:dyDescent="0.6">
      <c r="A5" s="61" t="s">
        <v>103</v>
      </c>
      <c r="B5" s="62">
        <f>'Fine Tuning'!B6</f>
        <v>0.41666666666666669</v>
      </c>
      <c r="C5" s="62">
        <f>B5+'Fine Tuning'!C6</f>
        <v>0.83333333333333337</v>
      </c>
      <c r="D5" s="62">
        <f>C5+'Fine Tuning'!D6</f>
        <v>1.25</v>
      </c>
      <c r="E5" s="62">
        <f>D5+'Fine Tuning'!E6</f>
        <v>1.6666666666666667</v>
      </c>
      <c r="F5" s="62">
        <f>E5+'Fine Tuning'!F6</f>
        <v>2.0833333333333335</v>
      </c>
      <c r="G5" s="62">
        <f>F5+'Fine Tuning'!G6</f>
        <v>2.5</v>
      </c>
      <c r="H5" s="62">
        <f>G5+'Fine Tuning'!H6</f>
        <v>2.9166666666666665</v>
      </c>
      <c r="I5" s="62">
        <f>H5+'Fine Tuning'!I6</f>
        <v>3.333333333333333</v>
      </c>
      <c r="J5" s="62">
        <f>I5+'Fine Tuning'!J6</f>
        <v>3.7499999999999996</v>
      </c>
      <c r="K5" s="62">
        <f>J5+'Fine Tuning'!K6</f>
        <v>4.1666666666666661</v>
      </c>
      <c r="L5" s="62">
        <f>K5+'Fine Tuning'!L6</f>
        <v>4.583333333333333</v>
      </c>
      <c r="M5" s="62">
        <f>L5+'Fine Tuning'!M6</f>
        <v>5</v>
      </c>
      <c r="N5" s="62">
        <f>M5+'Fine Tuning'!N6-('Fine Tuning'!B6*'Key Business Variables'!$J$31)</f>
        <v>5.3958333333333339</v>
      </c>
      <c r="O5" s="62">
        <f>N5+'Fine Tuning'!O6-('Fine Tuning'!C6*'Key Business Variables'!$J$31)</f>
        <v>5.7916666666666679</v>
      </c>
      <c r="P5" s="62">
        <f>O5+'Fine Tuning'!P6-('Fine Tuning'!D6*'Key Business Variables'!$J$31)</f>
        <v>6.1875000000000018</v>
      </c>
      <c r="Q5" s="62">
        <f>P5+'Fine Tuning'!Q6-('Fine Tuning'!E6*'Key Business Variables'!$J$31)</f>
        <v>6.5833333333333357</v>
      </c>
      <c r="R5" s="62">
        <f>Q5+'Fine Tuning'!R6-('Fine Tuning'!F6*'Key Business Variables'!$J$31)</f>
        <v>6.9791666666666696</v>
      </c>
      <c r="S5" s="62">
        <f>R5+'Fine Tuning'!S6-('Fine Tuning'!G6*'Key Business Variables'!$J$31)</f>
        <v>7.3750000000000036</v>
      </c>
      <c r="T5" s="62">
        <f>S5+'Fine Tuning'!T6-('Fine Tuning'!H6*'Key Business Variables'!$J$31)</f>
        <v>7.7708333333333375</v>
      </c>
      <c r="U5" s="62">
        <f>T5+'Fine Tuning'!U6-('Fine Tuning'!I6*'Key Business Variables'!$J$31)</f>
        <v>8.1666666666666696</v>
      </c>
      <c r="V5" s="62">
        <f>U5+'Fine Tuning'!V6-('Fine Tuning'!J6*'Key Business Variables'!$J$31)</f>
        <v>8.5625000000000018</v>
      </c>
      <c r="W5" s="62">
        <f>V5+'Fine Tuning'!W6-('Fine Tuning'!K6*'Key Business Variables'!$J$31)</f>
        <v>8.9583333333333339</v>
      </c>
      <c r="X5" s="62">
        <f>W5+'Fine Tuning'!X6-('Fine Tuning'!L6*'Key Business Variables'!$J$31)</f>
        <v>9.3541666666666661</v>
      </c>
      <c r="Y5" s="62">
        <f>X5+'Fine Tuning'!Y6-('Fine Tuning'!M6*'Key Business Variables'!$J$31)</f>
        <v>9.7499999999999982</v>
      </c>
      <c r="Z5" s="62">
        <f>Y5+'Fine Tuning'!Z6-('Fine Tuning'!N6*'Key Business Variables'!$J$31)</f>
        <v>10.14583333333333</v>
      </c>
      <c r="AA5" s="62">
        <f>Z5+'Fine Tuning'!AA6-('Fine Tuning'!O6*'Key Business Variables'!$J$31)</f>
        <v>10.541666666666663</v>
      </c>
      <c r="AB5" s="62">
        <f>AA5+'Fine Tuning'!AB6-('Fine Tuning'!P6*'Key Business Variables'!$J$31)</f>
        <v>10.937499999999995</v>
      </c>
      <c r="AC5" s="62">
        <f>AB5+'Fine Tuning'!AC6-('Fine Tuning'!Q6*'Key Business Variables'!$J$31)</f>
        <v>11.333333333333327</v>
      </c>
      <c r="AD5" s="62">
        <f>AC5+'Fine Tuning'!AD6-('Fine Tuning'!R6*'Key Business Variables'!$J$31)</f>
        <v>11.729166666666659</v>
      </c>
      <c r="AE5" s="62">
        <f>AD5+'Fine Tuning'!AE6-('Fine Tuning'!S6*'Key Business Variables'!$J$31)</f>
        <v>12.124999999999991</v>
      </c>
      <c r="AF5" s="62">
        <f>AE5+'Fine Tuning'!AF6-('Fine Tuning'!T6*'Key Business Variables'!$J$31)</f>
        <v>12.520833333333323</v>
      </c>
      <c r="AG5" s="62">
        <f>AF5+'Fine Tuning'!AG6-('Fine Tuning'!U6*'Key Business Variables'!$J$31)</f>
        <v>12.916666666666655</v>
      </c>
      <c r="AH5" s="62">
        <f>AG5+'Fine Tuning'!AH6-('Fine Tuning'!V6*'Key Business Variables'!$J$31)</f>
        <v>13.312499999999988</v>
      </c>
      <c r="AI5" s="62">
        <f>AH5+'Fine Tuning'!AI6-('Fine Tuning'!W6*'Key Business Variables'!$J$31)</f>
        <v>13.70833333333332</v>
      </c>
      <c r="AJ5" s="62">
        <f>AI5+'Fine Tuning'!AJ6-('Fine Tuning'!X6*'Key Business Variables'!$J$31)</f>
        <v>14.104166666666652</v>
      </c>
      <c r="AK5" s="62">
        <f>AJ5+'Fine Tuning'!AK6-('Fine Tuning'!Y6*'Key Business Variables'!$J$31)</f>
        <v>14.499999999999984</v>
      </c>
      <c r="AL5" s="62">
        <f>AK5+'Fine Tuning'!AL6-('Fine Tuning'!Z6*'Key Business Variables'!$J$31)</f>
        <v>14.895833333333316</v>
      </c>
      <c r="AM5" s="62">
        <f>AL5+'Fine Tuning'!AM6-('Fine Tuning'!AA6*'Key Business Variables'!$J$31)</f>
        <v>15.291666666666648</v>
      </c>
      <c r="AN5" s="62">
        <f>AM5+'Fine Tuning'!AN6-('Fine Tuning'!AB6*'Key Business Variables'!$J$31)</f>
        <v>15.68749999999998</v>
      </c>
      <c r="AO5" s="62">
        <f>AN5+'Fine Tuning'!AO6-('Fine Tuning'!AC6*'Key Business Variables'!$J$31)</f>
        <v>16.083333333333314</v>
      </c>
      <c r="AP5" s="62">
        <f>AO5+'Fine Tuning'!AP6-('Fine Tuning'!AD6*'Key Business Variables'!$J$31)</f>
        <v>16.47916666666665</v>
      </c>
      <c r="AQ5" s="62">
        <f>AP5+'Fine Tuning'!AQ6-('Fine Tuning'!AE6*'Key Business Variables'!$J$31)</f>
        <v>16.874999999999986</v>
      </c>
      <c r="AR5" s="62">
        <f>AQ5+'Fine Tuning'!AR6-('Fine Tuning'!AF6*'Key Business Variables'!$J$31)</f>
        <v>17.270833333333321</v>
      </c>
      <c r="AS5" s="62">
        <f>AR5+'Fine Tuning'!AS6-('Fine Tuning'!AG6*'Key Business Variables'!$J$31)</f>
        <v>17.666666666666657</v>
      </c>
      <c r="AT5" s="62">
        <f>AS5+'Fine Tuning'!AT6-('Fine Tuning'!AH6*'Key Business Variables'!$J$31)</f>
        <v>18.062499999999993</v>
      </c>
      <c r="AU5" s="62">
        <f>AT5+'Fine Tuning'!AU6-('Fine Tuning'!AI6*'Key Business Variables'!$J$31)</f>
        <v>18.458333333333329</v>
      </c>
      <c r="AV5" s="62">
        <f>AU5+'Fine Tuning'!AV6-('Fine Tuning'!AJ6*'Key Business Variables'!$J$31)</f>
        <v>18.854166666666664</v>
      </c>
      <c r="AW5" s="62">
        <f>AV5+'Fine Tuning'!AW6-('Fine Tuning'!AK6*'Key Business Variables'!$J$31)</f>
        <v>19.25</v>
      </c>
    </row>
    <row r="6" spans="1:51" hidden="1" x14ac:dyDescent="0.6">
      <c r="A6" s="61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</row>
    <row r="7" spans="1:51" hidden="1" x14ac:dyDescent="0.6">
      <c r="A7" s="61" t="s">
        <v>71</v>
      </c>
      <c r="B7" s="63">
        <f>B4*'Key Business Variables'!$C$11</f>
        <v>7.5</v>
      </c>
      <c r="C7" s="63">
        <f>C4*'Key Business Variables'!$C$11</f>
        <v>15</v>
      </c>
      <c r="D7" s="63">
        <f>D4*'Key Business Variables'!$C$11</f>
        <v>22.5</v>
      </c>
      <c r="E7" s="63">
        <f>E4*'Key Business Variables'!$C$11</f>
        <v>30</v>
      </c>
      <c r="F7" s="63">
        <f>F4*'Key Business Variables'!$C$11</f>
        <v>37.5</v>
      </c>
      <c r="G7" s="63">
        <f>G4*'Key Business Variables'!$C$11</f>
        <v>45</v>
      </c>
      <c r="H7" s="63">
        <f>H4*'Key Business Variables'!$C$11</f>
        <v>52.5</v>
      </c>
      <c r="I7" s="63">
        <f>I4*'Key Business Variables'!$C$11</f>
        <v>60</v>
      </c>
      <c r="J7" s="63">
        <f>J4*'Key Business Variables'!$C$11</f>
        <v>67.5</v>
      </c>
      <c r="K7" s="63">
        <f>K4*'Key Business Variables'!$C$11</f>
        <v>75</v>
      </c>
      <c r="L7" s="63">
        <f>L4*'Key Business Variables'!$C$11</f>
        <v>82.5</v>
      </c>
      <c r="M7" s="63">
        <f>M4*'Key Business Variables'!$C$11</f>
        <v>90</v>
      </c>
      <c r="N7" s="63">
        <f>N4*'Key Business Variables'!$C$11</f>
        <v>97.125</v>
      </c>
      <c r="O7" s="63">
        <f>O4*'Key Business Variables'!$C$11</f>
        <v>104.25</v>
      </c>
      <c r="P7" s="63">
        <f>P4*'Key Business Variables'!$C$11</f>
        <v>111.375</v>
      </c>
      <c r="Q7" s="63">
        <f>Q4*'Key Business Variables'!$C$11</f>
        <v>118.5</v>
      </c>
      <c r="R7" s="63">
        <f>R4*'Key Business Variables'!$C$11</f>
        <v>125.625</v>
      </c>
      <c r="S7" s="63">
        <f>S4*'Key Business Variables'!$C$11</f>
        <v>132.75</v>
      </c>
      <c r="T7" s="63">
        <f>T4*'Key Business Variables'!$C$11</f>
        <v>139.875</v>
      </c>
      <c r="U7" s="63">
        <f>U4*'Key Business Variables'!$C$11</f>
        <v>147</v>
      </c>
      <c r="V7" s="63">
        <f>V4*'Key Business Variables'!$C$11</f>
        <v>154.125</v>
      </c>
      <c r="W7" s="63">
        <f>W4*'Key Business Variables'!$C$11</f>
        <v>161.25</v>
      </c>
      <c r="X7" s="63">
        <f>X4*'Key Business Variables'!$C$11</f>
        <v>168.375</v>
      </c>
      <c r="Y7" s="63">
        <f>Y4*'Key Business Variables'!$C$11</f>
        <v>175.5</v>
      </c>
      <c r="Z7" s="63">
        <f>Z4*'Key Business Variables'!$C$11</f>
        <v>182.625</v>
      </c>
      <c r="AA7" s="63">
        <f>AA4*'Key Business Variables'!$C$11</f>
        <v>189.75</v>
      </c>
      <c r="AB7" s="63">
        <f>AB4*'Key Business Variables'!$C$11</f>
        <v>196.875</v>
      </c>
      <c r="AC7" s="63">
        <f>AC4*'Key Business Variables'!$C$11</f>
        <v>204</v>
      </c>
      <c r="AD7" s="63">
        <f>AD4*'Key Business Variables'!$C$11</f>
        <v>211.125</v>
      </c>
      <c r="AE7" s="63">
        <f>AE4*'Key Business Variables'!$C$11</f>
        <v>218.25</v>
      </c>
      <c r="AF7" s="63">
        <f>AF4*'Key Business Variables'!$C$11</f>
        <v>225.375</v>
      </c>
      <c r="AG7" s="63">
        <f>AG4*'Key Business Variables'!$C$11</f>
        <v>232.5</v>
      </c>
      <c r="AH7" s="63">
        <f>AH4*'Key Business Variables'!$C$11</f>
        <v>239.625</v>
      </c>
      <c r="AI7" s="63">
        <f>AI4*'Key Business Variables'!$C$11</f>
        <v>246.75</v>
      </c>
      <c r="AJ7" s="63">
        <f>AJ4*'Key Business Variables'!$C$11</f>
        <v>253.875</v>
      </c>
      <c r="AK7" s="63">
        <f>AK4*'Key Business Variables'!$C$11</f>
        <v>261</v>
      </c>
      <c r="AL7" s="63">
        <f>AL4*'Key Business Variables'!$C$11</f>
        <v>268.125</v>
      </c>
      <c r="AM7" s="63">
        <f>AM4*'Key Business Variables'!$C$11</f>
        <v>275.25</v>
      </c>
      <c r="AN7" s="63">
        <f>AN4*'Key Business Variables'!$C$11</f>
        <v>282.375</v>
      </c>
      <c r="AO7" s="63">
        <f>AO4*'Key Business Variables'!$C$11</f>
        <v>289.5</v>
      </c>
      <c r="AP7" s="63">
        <f>AP4*'Key Business Variables'!$C$11</f>
        <v>296.625</v>
      </c>
      <c r="AQ7" s="63">
        <f>AQ4*'Key Business Variables'!$C$11</f>
        <v>303.75</v>
      </c>
      <c r="AR7" s="63">
        <f>AR4*'Key Business Variables'!$C$11</f>
        <v>310.875</v>
      </c>
      <c r="AS7" s="63">
        <f>AS4*'Key Business Variables'!$C$11</f>
        <v>318</v>
      </c>
      <c r="AT7" s="63">
        <f>AT4*'Key Business Variables'!$C$11</f>
        <v>325.125</v>
      </c>
      <c r="AU7" s="63">
        <f>AU4*'Key Business Variables'!$C$11</f>
        <v>332.25</v>
      </c>
      <c r="AV7" s="63">
        <f>AV4*'Key Business Variables'!$C$11</f>
        <v>339.375</v>
      </c>
      <c r="AW7" s="63">
        <f>AW4*'Key Business Variables'!$C$11</f>
        <v>346.5</v>
      </c>
      <c r="AX7" s="67">
        <f>AW7*'Key Business Variables'!$C$17*12</f>
        <v>291060</v>
      </c>
      <c r="AY7" s="62"/>
    </row>
    <row r="8" spans="1:51" hidden="1" x14ac:dyDescent="0.6">
      <c r="A8" s="61" t="s">
        <v>72</v>
      </c>
      <c r="B8" s="63">
        <f>B4*'Key Business Variables'!$C$12</f>
        <v>3.75</v>
      </c>
      <c r="C8" s="63">
        <f>C4*'Key Business Variables'!$C$12</f>
        <v>7.5</v>
      </c>
      <c r="D8" s="63">
        <f>D4*'Key Business Variables'!$C$12</f>
        <v>11.25</v>
      </c>
      <c r="E8" s="63">
        <f>E4*'Key Business Variables'!$C$12</f>
        <v>15</v>
      </c>
      <c r="F8" s="63">
        <f>F4*'Key Business Variables'!$C$12</f>
        <v>18.75</v>
      </c>
      <c r="G8" s="63">
        <f>G4*'Key Business Variables'!$C$12</f>
        <v>22.5</v>
      </c>
      <c r="H8" s="63">
        <f>H4*'Key Business Variables'!$C$12</f>
        <v>26.25</v>
      </c>
      <c r="I8" s="63">
        <f>I4*'Key Business Variables'!$C$12</f>
        <v>30</v>
      </c>
      <c r="J8" s="63">
        <f>J4*'Key Business Variables'!$C$12</f>
        <v>33.75</v>
      </c>
      <c r="K8" s="63">
        <f>K4*'Key Business Variables'!$C$12</f>
        <v>37.5</v>
      </c>
      <c r="L8" s="63">
        <f>L4*'Key Business Variables'!$C$12</f>
        <v>41.25</v>
      </c>
      <c r="M8" s="63">
        <f>M4*'Key Business Variables'!$C$12</f>
        <v>45</v>
      </c>
      <c r="N8" s="63">
        <f>N4*'Key Business Variables'!$C$12</f>
        <v>48.5625</v>
      </c>
      <c r="O8" s="63">
        <f>O4*'Key Business Variables'!$C$12</f>
        <v>52.125</v>
      </c>
      <c r="P8" s="63">
        <f>P4*'Key Business Variables'!$C$12</f>
        <v>55.6875</v>
      </c>
      <c r="Q8" s="63">
        <f>Q4*'Key Business Variables'!$C$12</f>
        <v>59.25</v>
      </c>
      <c r="R8" s="63">
        <f>R4*'Key Business Variables'!$C$12</f>
        <v>62.8125</v>
      </c>
      <c r="S8" s="63">
        <f>S4*'Key Business Variables'!$C$12</f>
        <v>66.375</v>
      </c>
      <c r="T8" s="63">
        <f>T4*'Key Business Variables'!$C$12</f>
        <v>69.9375</v>
      </c>
      <c r="U8" s="63">
        <f>U4*'Key Business Variables'!$C$12</f>
        <v>73.5</v>
      </c>
      <c r="V8" s="63">
        <f>V4*'Key Business Variables'!$C$12</f>
        <v>77.0625</v>
      </c>
      <c r="W8" s="63">
        <f>W4*'Key Business Variables'!$C$12</f>
        <v>80.625</v>
      </c>
      <c r="X8" s="63">
        <f>X4*'Key Business Variables'!$C$12</f>
        <v>84.1875</v>
      </c>
      <c r="Y8" s="63">
        <f>Y4*'Key Business Variables'!$C$12</f>
        <v>87.75</v>
      </c>
      <c r="Z8" s="63">
        <f>Z4*'Key Business Variables'!$C$12</f>
        <v>91.3125</v>
      </c>
      <c r="AA8" s="63">
        <f>AA4*'Key Business Variables'!$C$12</f>
        <v>94.875</v>
      </c>
      <c r="AB8" s="63">
        <f>AB4*'Key Business Variables'!$C$12</f>
        <v>98.4375</v>
      </c>
      <c r="AC8" s="63">
        <f>AC4*'Key Business Variables'!$C$12</f>
        <v>102</v>
      </c>
      <c r="AD8" s="63">
        <f>AD4*'Key Business Variables'!$C$12</f>
        <v>105.5625</v>
      </c>
      <c r="AE8" s="63">
        <f>AE4*'Key Business Variables'!$C$12</f>
        <v>109.125</v>
      </c>
      <c r="AF8" s="63">
        <f>AF4*'Key Business Variables'!$C$12</f>
        <v>112.6875</v>
      </c>
      <c r="AG8" s="63">
        <f>AG4*'Key Business Variables'!$C$12</f>
        <v>116.25</v>
      </c>
      <c r="AH8" s="63">
        <f>AH4*'Key Business Variables'!$C$12</f>
        <v>119.8125</v>
      </c>
      <c r="AI8" s="63">
        <f>AI4*'Key Business Variables'!$C$12</f>
        <v>123.375</v>
      </c>
      <c r="AJ8" s="63">
        <f>AJ4*'Key Business Variables'!$C$12</f>
        <v>126.9375</v>
      </c>
      <c r="AK8" s="63">
        <f>AK4*'Key Business Variables'!$C$12</f>
        <v>130.5</v>
      </c>
      <c r="AL8" s="63">
        <f>AL4*'Key Business Variables'!$C$12</f>
        <v>134.0625</v>
      </c>
      <c r="AM8" s="63">
        <f>AM4*'Key Business Variables'!$C$12</f>
        <v>137.625</v>
      </c>
      <c r="AN8" s="63">
        <f>AN4*'Key Business Variables'!$C$12</f>
        <v>141.1875</v>
      </c>
      <c r="AO8" s="63">
        <f>AO4*'Key Business Variables'!$C$12</f>
        <v>144.75</v>
      </c>
      <c r="AP8" s="63">
        <f>AP4*'Key Business Variables'!$C$12</f>
        <v>148.3125</v>
      </c>
      <c r="AQ8" s="63">
        <f>AQ4*'Key Business Variables'!$C$12</f>
        <v>151.875</v>
      </c>
      <c r="AR8" s="63">
        <f>AR4*'Key Business Variables'!$C$12</f>
        <v>155.4375</v>
      </c>
      <c r="AS8" s="63">
        <f>AS4*'Key Business Variables'!$C$12</f>
        <v>159</v>
      </c>
      <c r="AT8" s="63">
        <f>AT4*'Key Business Variables'!$C$12</f>
        <v>162.5625</v>
      </c>
      <c r="AU8" s="63">
        <f>AU4*'Key Business Variables'!$C$12</f>
        <v>166.125</v>
      </c>
      <c r="AV8" s="63">
        <f>AV4*'Key Business Variables'!$C$12</f>
        <v>169.6875</v>
      </c>
      <c r="AW8" s="63">
        <f>AW4*'Key Business Variables'!$C$12</f>
        <v>173.25</v>
      </c>
      <c r="AX8" s="67">
        <f>AW8*'Key Business Variables'!$C$18*12</f>
        <v>16632</v>
      </c>
    </row>
    <row r="9" spans="1:51" hidden="1" x14ac:dyDescent="0.6">
      <c r="A9" s="61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</row>
    <row r="10" spans="1:51" hidden="1" x14ac:dyDescent="0.6">
      <c r="A10" s="51" t="s">
        <v>76</v>
      </c>
      <c r="B10" s="122">
        <f>'Fine Tuning'!B6*(1/(1+'Key Business Variables'!$C$49))*'Key Business Variables'!$C$7*'Key Business Variables'!$C$9</f>
        <v>3.9000000000000004</v>
      </c>
      <c r="C10" s="122">
        <f>'Fine Tuning'!C6*(1/(1+'Key Business Variables'!$C$49))*'Key Business Variables'!$C$7*'Key Business Variables'!$C$9</f>
        <v>3.9000000000000004</v>
      </c>
      <c r="D10" s="122">
        <f>'Fine Tuning'!D6*(1/(1+'Key Business Variables'!$C$49))*'Key Business Variables'!$C$7*'Key Business Variables'!$C$9</f>
        <v>3.9000000000000004</v>
      </c>
      <c r="E10" s="122">
        <f>'Fine Tuning'!E6*(1/(1+'Key Business Variables'!$C$49))*'Key Business Variables'!$C$7*'Key Business Variables'!$C$9</f>
        <v>3.9000000000000004</v>
      </c>
      <c r="F10" s="122">
        <f>'Fine Tuning'!F6*(1/(1+'Key Business Variables'!$C$49))*'Key Business Variables'!$C$7*'Key Business Variables'!$C$9</f>
        <v>3.9000000000000004</v>
      </c>
      <c r="G10" s="122">
        <f>'Fine Tuning'!G6*(1/(1+'Key Business Variables'!$C$49))*'Key Business Variables'!$C$7*'Key Business Variables'!$C$9</f>
        <v>3.9000000000000004</v>
      </c>
      <c r="H10" s="114">
        <f>'Fine Tuning'!H6*(1/(1+'Key Business Variables'!$C$49))*'Key Business Variables'!$C$7*'Key Business Variables'!$C$9</f>
        <v>3.9000000000000004</v>
      </c>
      <c r="I10" s="114">
        <f>'Fine Tuning'!I6*(1/(1+'Key Business Variables'!$C$49))*'Key Business Variables'!$C$7*'Key Business Variables'!$C$9</f>
        <v>3.9000000000000004</v>
      </c>
      <c r="J10" s="114">
        <f>'Fine Tuning'!J6*(1/(1+'Key Business Variables'!$C$49))*'Key Business Variables'!$C$7*'Key Business Variables'!$C$9</f>
        <v>3.9000000000000004</v>
      </c>
      <c r="K10" s="114">
        <f>'Fine Tuning'!K6*(1/(1+'Key Business Variables'!$C$49))*'Key Business Variables'!$C$7*'Key Business Variables'!$C$9</f>
        <v>3.9000000000000004</v>
      </c>
      <c r="L10" s="114">
        <f>'Fine Tuning'!L6*(1/(1+'Key Business Variables'!$C$49))*'Key Business Variables'!$C$7*'Key Business Variables'!$C$9</f>
        <v>3.9000000000000004</v>
      </c>
      <c r="M10" s="114">
        <f>'Fine Tuning'!M6*(1/(1+'Key Business Variables'!$C$49))*'Key Business Variables'!$C$7*'Key Business Variables'!$C$9</f>
        <v>3.9000000000000004</v>
      </c>
      <c r="N10" s="114">
        <f>'Fine Tuning'!N6*(1/(1+'Key Business Variables'!$C$49))*'Key Business Variables'!$C$7*'Key Business Variables'!$C$9</f>
        <v>3.9000000000000004</v>
      </c>
      <c r="O10" s="114">
        <f>'Fine Tuning'!O6*(1/(1+'Key Business Variables'!$C$49))*'Key Business Variables'!$C$7*'Key Business Variables'!$C$9</f>
        <v>3.9000000000000004</v>
      </c>
      <c r="P10" s="114">
        <f>'Fine Tuning'!P6*(1/(1+'Key Business Variables'!$C$49))*'Key Business Variables'!$C$7*'Key Business Variables'!$C$9</f>
        <v>3.9000000000000004</v>
      </c>
      <c r="Q10" s="114">
        <f>'Fine Tuning'!Q6*(1/(1+'Key Business Variables'!$C$49))*'Key Business Variables'!$C$7*'Key Business Variables'!$C$9</f>
        <v>3.9000000000000004</v>
      </c>
      <c r="R10" s="114">
        <f>'Fine Tuning'!R6*(1/(1+'Key Business Variables'!$C$49))*'Key Business Variables'!$C$7*'Key Business Variables'!$C$9</f>
        <v>3.9000000000000004</v>
      </c>
      <c r="S10" s="114">
        <f>'Fine Tuning'!S6*(1/(1+'Key Business Variables'!$C$49))*'Key Business Variables'!$C$7*'Key Business Variables'!$C$9</f>
        <v>3.9000000000000004</v>
      </c>
      <c r="T10" s="114">
        <f>'Fine Tuning'!T6*(1/(1+'Key Business Variables'!$C$49))*'Key Business Variables'!$C$7*'Key Business Variables'!$C$9</f>
        <v>3.9000000000000004</v>
      </c>
      <c r="U10" s="114">
        <f>'Fine Tuning'!U6*(1/(1+'Key Business Variables'!$C$49))*'Key Business Variables'!$C$7*'Key Business Variables'!$C$9</f>
        <v>3.9000000000000004</v>
      </c>
      <c r="V10" s="114">
        <f>'Fine Tuning'!V6*(1/(1+'Key Business Variables'!$C$49))*'Key Business Variables'!$C$7*'Key Business Variables'!$C$9</f>
        <v>3.9000000000000004</v>
      </c>
      <c r="W10" s="114">
        <f>'Fine Tuning'!W6*(1/(1+'Key Business Variables'!$C$49))*'Key Business Variables'!$C$7*'Key Business Variables'!$C$9</f>
        <v>3.9000000000000004</v>
      </c>
      <c r="X10" s="114">
        <f>'Fine Tuning'!X6*(1/(1+'Key Business Variables'!$C$49))*'Key Business Variables'!$C$7*'Key Business Variables'!$C$9</f>
        <v>3.9000000000000004</v>
      </c>
      <c r="Y10" s="114">
        <f>'Fine Tuning'!Y6*(1/(1+'Key Business Variables'!$C$49))*'Key Business Variables'!$C$7*'Key Business Variables'!$C$9</f>
        <v>3.9000000000000004</v>
      </c>
      <c r="Z10" s="114">
        <f>'Fine Tuning'!Z6*(1/(1+'Key Business Variables'!$C$49))*'Key Business Variables'!$C$7*'Key Business Variables'!$C$9</f>
        <v>3.9000000000000004</v>
      </c>
      <c r="AA10" s="114">
        <f>'Fine Tuning'!AA6*(1/(1+'Key Business Variables'!$C$49))*'Key Business Variables'!$C$7*'Key Business Variables'!$C$9</f>
        <v>3.9000000000000004</v>
      </c>
      <c r="AB10" s="114">
        <f>'Fine Tuning'!AB6*(1/(1+'Key Business Variables'!$C$49))*'Key Business Variables'!$C$7*'Key Business Variables'!$C$9</f>
        <v>3.9000000000000004</v>
      </c>
      <c r="AC10" s="114">
        <f>'Fine Tuning'!AC6*(1/(1+'Key Business Variables'!$C$49))*'Key Business Variables'!$C$7*'Key Business Variables'!$C$9</f>
        <v>3.9000000000000004</v>
      </c>
      <c r="AD10" s="114">
        <f>'Fine Tuning'!AD6*(1/(1+'Key Business Variables'!$C$49))*'Key Business Variables'!$C$7*'Key Business Variables'!$C$9</f>
        <v>3.9000000000000004</v>
      </c>
      <c r="AE10" s="114">
        <f>'Fine Tuning'!AE6*(1/(1+'Key Business Variables'!$C$49))*'Key Business Variables'!$C$7*'Key Business Variables'!$C$9</f>
        <v>3.9000000000000004</v>
      </c>
      <c r="AF10" s="114">
        <f>'Fine Tuning'!AF6*(1/(1+'Key Business Variables'!$C$49))*'Key Business Variables'!$C$7*'Key Business Variables'!$C$9</f>
        <v>3.9000000000000004</v>
      </c>
      <c r="AG10" s="114">
        <f>'Fine Tuning'!AG6*(1/(1+'Key Business Variables'!$C$49))*'Key Business Variables'!$C$7*'Key Business Variables'!$C$9</f>
        <v>3.9000000000000004</v>
      </c>
      <c r="AH10" s="114">
        <f>'Fine Tuning'!AH6*(1/(1+'Key Business Variables'!$C$49))*'Key Business Variables'!$C$7*'Key Business Variables'!$C$9</f>
        <v>3.9000000000000004</v>
      </c>
      <c r="AI10" s="114">
        <f>'Fine Tuning'!AI6*(1/(1+'Key Business Variables'!$C$49))*'Key Business Variables'!$C$7*'Key Business Variables'!$C$9</f>
        <v>3.9000000000000004</v>
      </c>
      <c r="AJ10" s="114">
        <f>'Fine Tuning'!AJ6*(1/(1+'Key Business Variables'!$C$49))*'Key Business Variables'!$C$7*'Key Business Variables'!$C$9</f>
        <v>3.9000000000000004</v>
      </c>
      <c r="AK10" s="114">
        <f>'Fine Tuning'!AK6*(1/(1+'Key Business Variables'!$C$49))*'Key Business Variables'!$C$7*'Key Business Variables'!$C$9</f>
        <v>3.9000000000000004</v>
      </c>
      <c r="AL10" s="114">
        <f>'Fine Tuning'!AL6*(1/(1+'Key Business Variables'!$C$49))*'Key Business Variables'!$C$7*'Key Business Variables'!$C$9</f>
        <v>3.9000000000000004</v>
      </c>
      <c r="AM10" s="114">
        <f>'Fine Tuning'!AM6*(1/(1+'Key Business Variables'!$C$49))*'Key Business Variables'!$C$7*'Key Business Variables'!$C$9</f>
        <v>3.9000000000000004</v>
      </c>
      <c r="AN10" s="114">
        <f>'Fine Tuning'!AN6*(1/(1+'Key Business Variables'!$C$49))*'Key Business Variables'!$C$7*'Key Business Variables'!$C$9</f>
        <v>3.9000000000000004</v>
      </c>
      <c r="AO10" s="114">
        <f>'Fine Tuning'!AO6*(1/(1+'Key Business Variables'!$C$49))*'Key Business Variables'!$C$7*'Key Business Variables'!$C$9</f>
        <v>3.9000000000000004</v>
      </c>
      <c r="AP10" s="114">
        <f>'Fine Tuning'!AP6*(1/(1+'Key Business Variables'!$C$49))*'Key Business Variables'!$C$7*'Key Business Variables'!$C$9</f>
        <v>3.9000000000000004</v>
      </c>
      <c r="AQ10" s="114">
        <f>'Fine Tuning'!AQ6*(1/(1+'Key Business Variables'!$C$49))*'Key Business Variables'!$C$7*'Key Business Variables'!$C$9</f>
        <v>3.9000000000000004</v>
      </c>
      <c r="AR10" s="114">
        <f>'Fine Tuning'!AR6*(1/(1+'Key Business Variables'!$C$49))*'Key Business Variables'!$C$7*'Key Business Variables'!$C$9</f>
        <v>3.9000000000000004</v>
      </c>
      <c r="AS10" s="114">
        <f>'Fine Tuning'!AS6*(1/(1+'Key Business Variables'!$C$49))*'Key Business Variables'!$C$7*'Key Business Variables'!$C$9</f>
        <v>3.9000000000000004</v>
      </c>
      <c r="AT10" s="114">
        <f>'Fine Tuning'!AT6*(1/(1+'Key Business Variables'!$C$49))*'Key Business Variables'!$C$7*'Key Business Variables'!$C$9</f>
        <v>3.9000000000000004</v>
      </c>
      <c r="AU10" s="114">
        <f>'Fine Tuning'!AU6*(1/(1+'Key Business Variables'!$C$49))*'Key Business Variables'!$C$7*'Key Business Variables'!$C$9</f>
        <v>3.9000000000000004</v>
      </c>
      <c r="AV10" s="114">
        <f>'Fine Tuning'!AV6*(1/(1+'Key Business Variables'!$C$49))*'Key Business Variables'!$C$7*'Key Business Variables'!$C$9</f>
        <v>3.9000000000000004</v>
      </c>
      <c r="AW10" s="114">
        <f>'Fine Tuning'!AW6*(1/(1+'Key Business Variables'!$C$49))*'Key Business Variables'!$C$7*'Key Business Variables'!$C$9</f>
        <v>3.9000000000000004</v>
      </c>
    </row>
    <row r="11" spans="1:51" hidden="1" x14ac:dyDescent="0.6">
      <c r="A11" s="51" t="s">
        <v>77</v>
      </c>
      <c r="B11" s="122">
        <f>'Fine Tuning'!B6*('Key Business Variables'!$C$49/(1+'Key Business Variables'!$C$49))*'Key Business Variables'!$C$7*'Key Business Variables'!$C$9</f>
        <v>0.43333333333333335</v>
      </c>
      <c r="C11" s="122">
        <f>'Fine Tuning'!C6*('Key Business Variables'!$C$49/(1+'Key Business Variables'!$C$49))*'Key Business Variables'!$C$7*'Key Business Variables'!$C$9</f>
        <v>0.43333333333333335</v>
      </c>
      <c r="D11" s="122">
        <f>'Fine Tuning'!D6*('Key Business Variables'!$C$49/(1+'Key Business Variables'!$C$49))*'Key Business Variables'!$C$7*'Key Business Variables'!$C$9</f>
        <v>0.43333333333333335</v>
      </c>
      <c r="E11" s="122">
        <f>'Fine Tuning'!E6*('Key Business Variables'!$C$49/(1+'Key Business Variables'!$C$49))*'Key Business Variables'!$C$7*'Key Business Variables'!$C$9</f>
        <v>0.43333333333333335</v>
      </c>
      <c r="F11" s="122">
        <f>'Fine Tuning'!F6*('Key Business Variables'!$C$49/(1+'Key Business Variables'!$C$49))*'Key Business Variables'!$C$7*'Key Business Variables'!$C$9</f>
        <v>0.43333333333333335</v>
      </c>
      <c r="G11" s="122">
        <f>'Fine Tuning'!G6*('Key Business Variables'!$C$49/(1+'Key Business Variables'!$C$49))*'Key Business Variables'!$C$7*'Key Business Variables'!$C$9</f>
        <v>0.43333333333333335</v>
      </c>
      <c r="H11" s="114">
        <f>'Fine Tuning'!H6*('Key Business Variables'!$C$49/(1+'Key Business Variables'!$C$49))*'Key Business Variables'!$C$7*'Key Business Variables'!$C$9</f>
        <v>0.43333333333333335</v>
      </c>
      <c r="I11" s="114">
        <f>'Fine Tuning'!I6*('Key Business Variables'!$C$49/(1+'Key Business Variables'!$C$49))*'Key Business Variables'!$C$7*'Key Business Variables'!$C$9</f>
        <v>0.43333333333333335</v>
      </c>
      <c r="J11" s="114">
        <f>'Fine Tuning'!J6*('Key Business Variables'!$C$49/(1+'Key Business Variables'!$C$49))*'Key Business Variables'!$C$7*'Key Business Variables'!$C$9</f>
        <v>0.43333333333333335</v>
      </c>
      <c r="K11" s="114">
        <f>'Fine Tuning'!K6*('Key Business Variables'!$C$49/(1+'Key Business Variables'!$C$49))*'Key Business Variables'!$C$7*'Key Business Variables'!$C$9</f>
        <v>0.43333333333333335</v>
      </c>
      <c r="L11" s="114">
        <f>'Fine Tuning'!L6*('Key Business Variables'!$C$49/(1+'Key Business Variables'!$C$49))*'Key Business Variables'!$C$7*'Key Business Variables'!$C$9</f>
        <v>0.43333333333333335</v>
      </c>
      <c r="M11" s="114">
        <f>'Fine Tuning'!M6*('Key Business Variables'!$C$49/(1+'Key Business Variables'!$C$49))*'Key Business Variables'!$C$7*'Key Business Variables'!$C$9</f>
        <v>0.43333333333333335</v>
      </c>
      <c r="N11" s="114">
        <f>'Fine Tuning'!N6*('Key Business Variables'!$C$49/(1+'Key Business Variables'!$C$49))*'Key Business Variables'!$C$7*'Key Business Variables'!$C$9</f>
        <v>0.43333333333333335</v>
      </c>
      <c r="O11" s="114">
        <f>'Fine Tuning'!O6*('Key Business Variables'!$C$49/(1+'Key Business Variables'!$C$49))*'Key Business Variables'!$C$7*'Key Business Variables'!$C$9</f>
        <v>0.43333333333333335</v>
      </c>
      <c r="P11" s="114">
        <f>'Fine Tuning'!P6*('Key Business Variables'!$C$49/(1+'Key Business Variables'!$C$49))*'Key Business Variables'!$C$7*'Key Business Variables'!$C$9</f>
        <v>0.43333333333333335</v>
      </c>
      <c r="Q11" s="114">
        <f>'Fine Tuning'!Q6*('Key Business Variables'!$C$49/(1+'Key Business Variables'!$C$49))*'Key Business Variables'!$C$7*'Key Business Variables'!$C$9</f>
        <v>0.43333333333333335</v>
      </c>
      <c r="R11" s="114">
        <f>'Fine Tuning'!R6*('Key Business Variables'!$C$49/(1+'Key Business Variables'!$C$49))*'Key Business Variables'!$C$7*'Key Business Variables'!$C$9</f>
        <v>0.43333333333333335</v>
      </c>
      <c r="S11" s="114">
        <f>'Fine Tuning'!S6*('Key Business Variables'!$C$49/(1+'Key Business Variables'!$C$49))*'Key Business Variables'!$C$7*'Key Business Variables'!$C$9</f>
        <v>0.43333333333333335</v>
      </c>
      <c r="T11" s="114">
        <f>'Fine Tuning'!T6*('Key Business Variables'!$C$49/(1+'Key Business Variables'!$C$49))*'Key Business Variables'!$C$7*'Key Business Variables'!$C$9</f>
        <v>0.43333333333333335</v>
      </c>
      <c r="U11" s="114">
        <f>'Fine Tuning'!U6*('Key Business Variables'!$C$49/(1+'Key Business Variables'!$C$49))*'Key Business Variables'!$C$7*'Key Business Variables'!$C$9</f>
        <v>0.43333333333333335</v>
      </c>
      <c r="V11" s="114">
        <f>'Fine Tuning'!V6*('Key Business Variables'!$C$49/(1+'Key Business Variables'!$C$49))*'Key Business Variables'!$C$7*'Key Business Variables'!$C$9</f>
        <v>0.43333333333333335</v>
      </c>
      <c r="W11" s="114">
        <f>'Fine Tuning'!W6*('Key Business Variables'!$C$49/(1+'Key Business Variables'!$C$49))*'Key Business Variables'!$C$7*'Key Business Variables'!$C$9</f>
        <v>0.43333333333333335</v>
      </c>
      <c r="X11" s="114">
        <f>'Fine Tuning'!X6*('Key Business Variables'!$C$49/(1+'Key Business Variables'!$C$49))*'Key Business Variables'!$C$7*'Key Business Variables'!$C$9</f>
        <v>0.43333333333333335</v>
      </c>
      <c r="Y11" s="114">
        <f>'Fine Tuning'!Y6*('Key Business Variables'!$C$49/(1+'Key Business Variables'!$C$49))*'Key Business Variables'!$C$7*'Key Business Variables'!$C$9</f>
        <v>0.43333333333333335</v>
      </c>
      <c r="Z11" s="114">
        <f>'Fine Tuning'!Z6*('Key Business Variables'!$C$49/(1+'Key Business Variables'!$C$49))*'Key Business Variables'!$C$7*'Key Business Variables'!$C$9</f>
        <v>0.43333333333333335</v>
      </c>
      <c r="AA11" s="114">
        <f>'Fine Tuning'!AA6*('Key Business Variables'!$C$49/(1+'Key Business Variables'!$C$49))*'Key Business Variables'!$C$7*'Key Business Variables'!$C$9</f>
        <v>0.43333333333333335</v>
      </c>
      <c r="AB11" s="114">
        <f>'Fine Tuning'!AB6*('Key Business Variables'!$C$49/(1+'Key Business Variables'!$C$49))*'Key Business Variables'!$C$7*'Key Business Variables'!$C$9</f>
        <v>0.43333333333333335</v>
      </c>
      <c r="AC11" s="114">
        <f>'Fine Tuning'!AC6*('Key Business Variables'!$C$49/(1+'Key Business Variables'!$C$49))*'Key Business Variables'!$C$7*'Key Business Variables'!$C$9</f>
        <v>0.43333333333333335</v>
      </c>
      <c r="AD11" s="114">
        <f>'Fine Tuning'!AD6*('Key Business Variables'!$C$49/(1+'Key Business Variables'!$C$49))*'Key Business Variables'!$C$7*'Key Business Variables'!$C$9</f>
        <v>0.43333333333333335</v>
      </c>
      <c r="AE11" s="114">
        <f>'Fine Tuning'!AE6*('Key Business Variables'!$C$49/(1+'Key Business Variables'!$C$49))*'Key Business Variables'!$C$7*'Key Business Variables'!$C$9</f>
        <v>0.43333333333333335</v>
      </c>
      <c r="AF11" s="114">
        <f>'Fine Tuning'!AF6*('Key Business Variables'!$C$49/(1+'Key Business Variables'!$C$49))*'Key Business Variables'!$C$7*'Key Business Variables'!$C$9</f>
        <v>0.43333333333333335</v>
      </c>
      <c r="AG11" s="114">
        <f>'Fine Tuning'!AG6*('Key Business Variables'!$C$49/(1+'Key Business Variables'!$C$49))*'Key Business Variables'!$C$7*'Key Business Variables'!$C$9</f>
        <v>0.43333333333333335</v>
      </c>
      <c r="AH11" s="114">
        <f>'Fine Tuning'!AH6*('Key Business Variables'!$C$49/(1+'Key Business Variables'!$C$49))*'Key Business Variables'!$C$7*'Key Business Variables'!$C$9</f>
        <v>0.43333333333333335</v>
      </c>
      <c r="AI11" s="114">
        <f>'Fine Tuning'!AI6*('Key Business Variables'!$C$49/(1+'Key Business Variables'!$C$49))*'Key Business Variables'!$C$7*'Key Business Variables'!$C$9</f>
        <v>0.43333333333333335</v>
      </c>
      <c r="AJ11" s="114">
        <f>'Fine Tuning'!AJ6*('Key Business Variables'!$C$49/(1+'Key Business Variables'!$C$49))*'Key Business Variables'!$C$7*'Key Business Variables'!$C$9</f>
        <v>0.43333333333333335</v>
      </c>
      <c r="AK11" s="114">
        <f>'Fine Tuning'!AK6*('Key Business Variables'!$C$49/(1+'Key Business Variables'!$C$49))*'Key Business Variables'!$C$7*'Key Business Variables'!$C$9</f>
        <v>0.43333333333333335</v>
      </c>
      <c r="AL11" s="114">
        <f>'Fine Tuning'!AL6*('Key Business Variables'!$C$49/(1+'Key Business Variables'!$C$49))*'Key Business Variables'!$C$7*'Key Business Variables'!$C$9</f>
        <v>0.43333333333333335</v>
      </c>
      <c r="AM11" s="114">
        <f>'Fine Tuning'!AM6*('Key Business Variables'!$C$49/(1+'Key Business Variables'!$C$49))*'Key Business Variables'!$C$7*'Key Business Variables'!$C$9</f>
        <v>0.43333333333333335</v>
      </c>
      <c r="AN11" s="114">
        <f>'Fine Tuning'!AN6*('Key Business Variables'!$C$49/(1+'Key Business Variables'!$C$49))*'Key Business Variables'!$C$7*'Key Business Variables'!$C$9</f>
        <v>0.43333333333333335</v>
      </c>
      <c r="AO11" s="114">
        <f>'Fine Tuning'!AO6*('Key Business Variables'!$C$49/(1+'Key Business Variables'!$C$49))*'Key Business Variables'!$C$7*'Key Business Variables'!$C$9</f>
        <v>0.43333333333333335</v>
      </c>
      <c r="AP11" s="114">
        <f>'Fine Tuning'!AP6*('Key Business Variables'!$C$49/(1+'Key Business Variables'!$C$49))*'Key Business Variables'!$C$7*'Key Business Variables'!$C$9</f>
        <v>0.43333333333333335</v>
      </c>
      <c r="AQ11" s="114">
        <f>'Fine Tuning'!AQ6*('Key Business Variables'!$C$49/(1+'Key Business Variables'!$C$49))*'Key Business Variables'!$C$7*'Key Business Variables'!$C$9</f>
        <v>0.43333333333333335</v>
      </c>
      <c r="AR11" s="114">
        <f>'Fine Tuning'!AR6*('Key Business Variables'!$C$49/(1+'Key Business Variables'!$C$49))*'Key Business Variables'!$C$7*'Key Business Variables'!$C$9</f>
        <v>0.43333333333333335</v>
      </c>
      <c r="AS11" s="114">
        <f>'Fine Tuning'!AS6*('Key Business Variables'!$C$49/(1+'Key Business Variables'!$C$49))*'Key Business Variables'!$C$7*'Key Business Variables'!$C$9</f>
        <v>0.43333333333333335</v>
      </c>
      <c r="AT11" s="114">
        <f>'Fine Tuning'!AT6*('Key Business Variables'!$C$49/(1+'Key Business Variables'!$C$49))*'Key Business Variables'!$C$7*'Key Business Variables'!$C$9</f>
        <v>0.43333333333333335</v>
      </c>
      <c r="AU11" s="114">
        <f>'Fine Tuning'!AU6*('Key Business Variables'!$C$49/(1+'Key Business Variables'!$C$49))*'Key Business Variables'!$C$7*'Key Business Variables'!$C$9</f>
        <v>0.43333333333333335</v>
      </c>
      <c r="AV11" s="114">
        <f>'Fine Tuning'!AV6*('Key Business Variables'!$C$49/(1+'Key Business Variables'!$C$49))*'Key Business Variables'!$C$7*'Key Business Variables'!$C$9</f>
        <v>0.43333333333333335</v>
      </c>
      <c r="AW11" s="114">
        <f>'Fine Tuning'!AW6*('Key Business Variables'!$C$49/(1+'Key Business Variables'!$C$49))*'Key Business Variables'!$C$7*'Key Business Variables'!$C$9</f>
        <v>0.43333333333333335</v>
      </c>
    </row>
    <row r="12" spans="1:51" hidden="1" x14ac:dyDescent="0.6">
      <c r="A12" s="61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Y12" s="60"/>
    </row>
    <row r="13" spans="1:51" hidden="1" x14ac:dyDescent="0.6">
      <c r="A13" s="61" t="s">
        <v>74</v>
      </c>
      <c r="B13" s="62">
        <f>'Core Calculations'!B10</f>
        <v>3.9000000000000004</v>
      </c>
      <c r="C13" s="63">
        <f>'Core Calculations'!C10+B13</f>
        <v>7.8000000000000007</v>
      </c>
      <c r="D13" s="63">
        <f>'Core Calculations'!D10+C13</f>
        <v>11.700000000000001</v>
      </c>
      <c r="E13" s="63">
        <f>'Core Calculations'!E10+D13</f>
        <v>15.600000000000001</v>
      </c>
      <c r="F13" s="63">
        <f>'Core Calculations'!F10+E13</f>
        <v>19.5</v>
      </c>
      <c r="G13" s="63">
        <f>'Core Calculations'!G10+F13</f>
        <v>23.4</v>
      </c>
      <c r="H13" s="63">
        <f>'Core Calculations'!H10+G13</f>
        <v>27.299999999999997</v>
      </c>
      <c r="I13" s="63">
        <f>'Core Calculations'!I10+H13</f>
        <v>31.199999999999996</v>
      </c>
      <c r="J13" s="63">
        <f>'Core Calculations'!J10+I13</f>
        <v>35.099999999999994</v>
      </c>
      <c r="K13" s="63">
        <f>'Core Calculations'!K10+J13</f>
        <v>38.999999999999993</v>
      </c>
      <c r="L13" s="63">
        <f>'Core Calculations'!L10+K13</f>
        <v>42.899999999999991</v>
      </c>
      <c r="M13" s="63">
        <f>'Core Calculations'!M10+L13</f>
        <v>46.79999999999999</v>
      </c>
      <c r="N13" s="63">
        <f>'Core Calculations'!N10+M13-('Core Calculations'!B10*'Key Business Variables'!$J$31)</f>
        <v>50.504999999999988</v>
      </c>
      <c r="O13" s="63">
        <f>'Core Calculations'!O10+N13-('Core Calculations'!C10*'Key Business Variables'!$J$31)</f>
        <v>54.209999999999987</v>
      </c>
      <c r="P13" s="63">
        <f>'Core Calculations'!P10+O13-('Core Calculations'!D10*'Key Business Variables'!$J$31)</f>
        <v>57.914999999999985</v>
      </c>
      <c r="Q13" s="63">
        <f>'Core Calculations'!Q10+P13-('Core Calculations'!E10*'Key Business Variables'!$J$31)</f>
        <v>61.619999999999983</v>
      </c>
      <c r="R13" s="63">
        <f>'Core Calculations'!R10+Q13-('Core Calculations'!F10*'Key Business Variables'!$J$31)</f>
        <v>65.324999999999989</v>
      </c>
      <c r="S13" s="63">
        <f>'Core Calculations'!S10+R13-('Core Calculations'!G10*'Key Business Variables'!$J$31)</f>
        <v>69.03</v>
      </c>
      <c r="T13" s="63">
        <f>'Core Calculations'!T10+S13-('Core Calculations'!H10*'Key Business Variables'!$J$31)</f>
        <v>72.735000000000014</v>
      </c>
      <c r="U13" s="63">
        <f>'Core Calculations'!U10+T13-('Core Calculations'!I10*'Key Business Variables'!$J$31)</f>
        <v>76.440000000000026</v>
      </c>
      <c r="V13" s="63">
        <f>'Core Calculations'!V10+U13-('Core Calculations'!J10*'Key Business Variables'!$J$31)</f>
        <v>80.145000000000039</v>
      </c>
      <c r="W13" s="63">
        <f>'Core Calculations'!W10+V13-('Core Calculations'!K10*'Key Business Variables'!$J$31)</f>
        <v>83.850000000000051</v>
      </c>
      <c r="X13" s="63">
        <f>'Core Calculations'!X10+W13-('Core Calculations'!L10*'Key Business Variables'!$J$31)</f>
        <v>87.555000000000064</v>
      </c>
      <c r="Y13" s="63">
        <f>'Core Calculations'!Y10+X13-('Core Calculations'!M10*'Key Business Variables'!$J$31)</f>
        <v>91.260000000000076</v>
      </c>
      <c r="Z13" s="63">
        <f>'Core Calculations'!Z10+Y13-('Core Calculations'!N10*'Key Business Variables'!$J$31)</f>
        <v>94.965000000000089</v>
      </c>
      <c r="AA13" s="63">
        <f>'Core Calculations'!AA10+Z13-('Core Calculations'!O10*'Key Business Variables'!$J$31)</f>
        <v>98.670000000000101</v>
      </c>
      <c r="AB13" s="63">
        <f>'Core Calculations'!AB10+AA13-('Core Calculations'!P10*'Key Business Variables'!$J$31)</f>
        <v>102.37500000000011</v>
      </c>
      <c r="AC13" s="63">
        <f>'Core Calculations'!AC10+AB13-('Core Calculations'!Q10*'Key Business Variables'!$J$31)</f>
        <v>106.08000000000013</v>
      </c>
      <c r="AD13" s="63">
        <f>'Core Calculations'!AD10+AC13-('Core Calculations'!R10*'Key Business Variables'!$J$31)</f>
        <v>109.78500000000014</v>
      </c>
      <c r="AE13" s="63">
        <f>'Core Calculations'!AE10+AD13-('Core Calculations'!S10*'Key Business Variables'!$J$31)</f>
        <v>113.49000000000015</v>
      </c>
      <c r="AF13" s="63">
        <f>'Core Calculations'!AF10+AE13-('Core Calculations'!T10*'Key Business Variables'!$J$31)</f>
        <v>117.19500000000016</v>
      </c>
      <c r="AG13" s="63">
        <f>'Core Calculations'!AG10+AF13-('Core Calculations'!U10*'Key Business Variables'!$J$31)</f>
        <v>120.90000000000018</v>
      </c>
      <c r="AH13" s="63">
        <f>'Core Calculations'!AH10+AG13-('Core Calculations'!V10*'Key Business Variables'!$J$31)</f>
        <v>124.60500000000019</v>
      </c>
      <c r="AI13" s="63">
        <f>'Core Calculations'!AI10+AH13-('Core Calculations'!W10*'Key Business Variables'!$J$31)</f>
        <v>128.3100000000002</v>
      </c>
      <c r="AJ13" s="63">
        <f>'Core Calculations'!AJ10+AI13-('Core Calculations'!X10*'Key Business Variables'!$J$31)</f>
        <v>132.01500000000021</v>
      </c>
      <c r="AK13" s="63">
        <f>'Core Calculations'!AK10+AJ13-('Core Calculations'!Y10*'Key Business Variables'!$J$31)</f>
        <v>135.72000000000023</v>
      </c>
      <c r="AL13" s="63">
        <f>'Core Calculations'!AL10+AK13-('Core Calculations'!Z10*'Key Business Variables'!$J$31)</f>
        <v>139.42500000000024</v>
      </c>
      <c r="AM13" s="63">
        <f>'Core Calculations'!AM10+AL13-('Core Calculations'!AA10*'Key Business Variables'!$J$31)</f>
        <v>143.13000000000025</v>
      </c>
      <c r="AN13" s="63">
        <f>'Core Calculations'!AN10+AM13-('Core Calculations'!AB10*'Key Business Variables'!$J$31)</f>
        <v>146.83500000000026</v>
      </c>
      <c r="AO13" s="63">
        <f>'Core Calculations'!AO10+AN13-('Core Calculations'!AC10*'Key Business Variables'!$J$31)</f>
        <v>150.54000000000028</v>
      </c>
      <c r="AP13" s="63">
        <f>'Core Calculations'!AP10+AO13-('Core Calculations'!AD10*'Key Business Variables'!$J$31)</f>
        <v>154.24500000000029</v>
      </c>
      <c r="AQ13" s="63">
        <f>'Core Calculations'!AQ10+AP13-('Core Calculations'!AE10*'Key Business Variables'!$J$31)</f>
        <v>157.9500000000003</v>
      </c>
      <c r="AR13" s="63">
        <f>'Core Calculations'!AR10+AQ13-('Core Calculations'!AF10*'Key Business Variables'!$J$31)</f>
        <v>161.65500000000031</v>
      </c>
      <c r="AS13" s="63">
        <f>'Core Calculations'!AS10+AR13-('Core Calculations'!AG10*'Key Business Variables'!$J$31)</f>
        <v>165.36000000000033</v>
      </c>
      <c r="AT13" s="63">
        <f>'Core Calculations'!AT10+AS13-('Core Calculations'!AH10*'Key Business Variables'!$J$31)</f>
        <v>169.06500000000034</v>
      </c>
      <c r="AU13" s="63">
        <f>'Core Calculations'!AU10+AT13-('Core Calculations'!AI10*'Key Business Variables'!$J$31)</f>
        <v>172.77000000000035</v>
      </c>
      <c r="AV13" s="63">
        <f>'Core Calculations'!AV10+AU13-('Core Calculations'!AJ10*'Key Business Variables'!$J$31)</f>
        <v>176.47500000000036</v>
      </c>
      <c r="AW13" s="63">
        <f>'Core Calculations'!AW10+AV13-('Core Calculations'!AK10*'Key Business Variables'!$J$31)</f>
        <v>180.18000000000038</v>
      </c>
      <c r="AX13" s="67">
        <f>AW13*'Key Business Variables'!$C$17*12</f>
        <v>151351.2000000003</v>
      </c>
      <c r="AY13" s="60"/>
    </row>
    <row r="14" spans="1:51" hidden="1" x14ac:dyDescent="0.6">
      <c r="A14" s="61" t="s">
        <v>75</v>
      </c>
      <c r="B14" s="62">
        <f>'Core Calculations'!B11</f>
        <v>0.43333333333333335</v>
      </c>
      <c r="C14" s="63">
        <f>'Core Calculations'!C11+B14</f>
        <v>0.8666666666666667</v>
      </c>
      <c r="D14" s="63">
        <f>'Core Calculations'!D11+C14</f>
        <v>1.3</v>
      </c>
      <c r="E14" s="63">
        <f>'Core Calculations'!E11+D14</f>
        <v>1.7333333333333334</v>
      </c>
      <c r="F14" s="63">
        <f>'Core Calculations'!F11+E14</f>
        <v>2.166666666666667</v>
      </c>
      <c r="G14" s="63">
        <f>'Core Calculations'!G11+F14</f>
        <v>2.6000000000000005</v>
      </c>
      <c r="H14" s="63">
        <f>'Core Calculations'!H11+G14</f>
        <v>3.0333333333333341</v>
      </c>
      <c r="I14" s="63">
        <f>'Core Calculations'!I11+H14</f>
        <v>3.4666666666666677</v>
      </c>
      <c r="J14" s="63">
        <f>'Core Calculations'!J11+I14</f>
        <v>3.9000000000000012</v>
      </c>
      <c r="K14" s="63">
        <f>'Core Calculations'!K11+J14</f>
        <v>4.3333333333333348</v>
      </c>
      <c r="L14" s="63">
        <f>'Core Calculations'!L11+K14</f>
        <v>4.7666666666666684</v>
      </c>
      <c r="M14" s="63">
        <f>'Core Calculations'!M11+L14</f>
        <v>5.200000000000002</v>
      </c>
      <c r="N14" s="63">
        <f>'Core Calculations'!N11+M14-('Core Calculations'!B11*'Key Business Variables'!$J$31)</f>
        <v>5.611666666666669</v>
      </c>
      <c r="O14" s="63">
        <f>'Core Calculations'!O11+N14-('Core Calculations'!C11*'Key Business Variables'!$J$31)</f>
        <v>6.0233333333333361</v>
      </c>
      <c r="P14" s="63">
        <f>'Core Calculations'!P11+O14-('Core Calculations'!D11*'Key Business Variables'!$J$31)</f>
        <v>6.4350000000000032</v>
      </c>
      <c r="Q14" s="63">
        <f>'Core Calculations'!Q11+P14-('Core Calculations'!E11*'Key Business Variables'!$J$31)</f>
        <v>6.8466666666666702</v>
      </c>
      <c r="R14" s="63">
        <f>'Core Calculations'!R11+Q14-('Core Calculations'!F11*'Key Business Variables'!$J$31)</f>
        <v>7.2583333333333373</v>
      </c>
      <c r="S14" s="63">
        <f>'Core Calculations'!S11+R14-('Core Calculations'!G11*'Key Business Variables'!$J$31)</f>
        <v>7.6700000000000044</v>
      </c>
      <c r="T14" s="63">
        <f>'Core Calculations'!T11+S14-('Core Calculations'!H11*'Key Business Variables'!$J$31)</f>
        <v>8.0816666666666706</v>
      </c>
      <c r="U14" s="63">
        <f>'Core Calculations'!U11+T14-('Core Calculations'!I11*'Key Business Variables'!$J$31)</f>
        <v>8.4933333333333376</v>
      </c>
      <c r="V14" s="63">
        <f>'Core Calculations'!V11+U14-('Core Calculations'!J11*'Key Business Variables'!$J$31)</f>
        <v>8.9050000000000047</v>
      </c>
      <c r="W14" s="63">
        <f>'Core Calculations'!W11+V14-('Core Calculations'!K11*'Key Business Variables'!$J$31)</f>
        <v>9.3166666666666718</v>
      </c>
      <c r="X14" s="63">
        <f>'Core Calculations'!X11+W14-('Core Calculations'!L11*'Key Business Variables'!$J$31)</f>
        <v>9.7283333333333388</v>
      </c>
      <c r="Y14" s="63">
        <f>'Core Calculations'!Y11+X14-('Core Calculations'!M11*'Key Business Variables'!$J$31)</f>
        <v>10.140000000000006</v>
      </c>
      <c r="Z14" s="63">
        <f>'Core Calculations'!Z11+Y14-('Core Calculations'!N11*'Key Business Variables'!$J$31)</f>
        <v>10.551666666666673</v>
      </c>
      <c r="AA14" s="63">
        <f>'Core Calculations'!AA11+Z14-('Core Calculations'!O11*'Key Business Variables'!$J$31)</f>
        <v>10.96333333333334</v>
      </c>
      <c r="AB14" s="63">
        <f>'Core Calculations'!AB11+AA14-('Core Calculations'!P11*'Key Business Variables'!$J$31)</f>
        <v>11.375000000000007</v>
      </c>
      <c r="AC14" s="63">
        <f>'Core Calculations'!AC11+AB14-('Core Calculations'!Q11*'Key Business Variables'!$J$31)</f>
        <v>11.786666666666674</v>
      </c>
      <c r="AD14" s="63">
        <f>'Core Calculations'!AD11+AC14-('Core Calculations'!R11*'Key Business Variables'!$J$31)</f>
        <v>12.198333333333341</v>
      </c>
      <c r="AE14" s="63">
        <f>'Core Calculations'!AE11+AD14-('Core Calculations'!S11*'Key Business Variables'!$J$31)</f>
        <v>12.610000000000008</v>
      </c>
      <c r="AF14" s="63">
        <f>'Core Calculations'!AF11+AE14-('Core Calculations'!T11*'Key Business Variables'!$J$31)</f>
        <v>13.021666666666675</v>
      </c>
      <c r="AG14" s="63">
        <f>'Core Calculations'!AG11+AF14-('Core Calculations'!U11*'Key Business Variables'!$J$31)</f>
        <v>13.433333333333342</v>
      </c>
      <c r="AH14" s="63">
        <f>'Core Calculations'!AH11+AG14-('Core Calculations'!V11*'Key Business Variables'!$J$31)</f>
        <v>13.84500000000001</v>
      </c>
      <c r="AI14" s="63">
        <f>'Core Calculations'!AI11+AH14-('Core Calculations'!W11*'Key Business Variables'!$J$31)</f>
        <v>14.256666666666677</v>
      </c>
      <c r="AJ14" s="63">
        <f>'Core Calculations'!AJ11+AI14-('Core Calculations'!X11*'Key Business Variables'!$J$31)</f>
        <v>14.668333333333344</v>
      </c>
      <c r="AK14" s="63">
        <f>'Core Calculations'!AK11+AJ14-('Core Calculations'!Y11*'Key Business Variables'!$J$31)</f>
        <v>15.080000000000011</v>
      </c>
      <c r="AL14" s="63">
        <f>'Core Calculations'!AL11+AK14-('Core Calculations'!Z11*'Key Business Variables'!$J$31)</f>
        <v>15.491666666666678</v>
      </c>
      <c r="AM14" s="63">
        <f>'Core Calculations'!AM11+AL14-('Core Calculations'!AA11*'Key Business Variables'!$J$31)</f>
        <v>15.903333333333345</v>
      </c>
      <c r="AN14" s="63">
        <f>'Core Calculations'!AN11+AM14-('Core Calculations'!AB11*'Key Business Variables'!$J$31)</f>
        <v>16.315000000000008</v>
      </c>
      <c r="AO14" s="63">
        <f>'Core Calculations'!AO11+AN14-('Core Calculations'!AC11*'Key Business Variables'!$J$31)</f>
        <v>16.726666666666674</v>
      </c>
      <c r="AP14" s="63">
        <f>'Core Calculations'!AP11+AO14-('Core Calculations'!AD11*'Key Business Variables'!$J$31)</f>
        <v>17.138333333333339</v>
      </c>
      <c r="AQ14" s="63">
        <f>'Core Calculations'!AQ11+AP14-('Core Calculations'!AE11*'Key Business Variables'!$J$31)</f>
        <v>17.550000000000004</v>
      </c>
      <c r="AR14" s="63">
        <f>'Core Calculations'!AR11+AQ14-('Core Calculations'!AF11*'Key Business Variables'!$J$31)</f>
        <v>17.96166666666667</v>
      </c>
      <c r="AS14" s="63">
        <f>'Core Calculations'!AS11+AR14-('Core Calculations'!AG11*'Key Business Variables'!$J$31)</f>
        <v>18.373333333333335</v>
      </c>
      <c r="AT14" s="63">
        <f>'Core Calculations'!AT11+AS14-('Core Calculations'!AH11*'Key Business Variables'!$J$31)</f>
        <v>18.785</v>
      </c>
      <c r="AU14" s="63">
        <f>'Core Calculations'!AU11+AT14-('Core Calculations'!AI11*'Key Business Variables'!$J$31)</f>
        <v>19.196666666666665</v>
      </c>
      <c r="AV14" s="63">
        <f>'Core Calculations'!AV11+AU14-('Core Calculations'!AJ11*'Key Business Variables'!$J$31)</f>
        <v>19.608333333333331</v>
      </c>
      <c r="AW14" s="63">
        <f>'Core Calculations'!AW11+AV14-('Core Calculations'!AK11*'Key Business Variables'!$J$31)</f>
        <v>20.019999999999996</v>
      </c>
      <c r="AX14" s="67">
        <f>AW14*'Key Business Variables'!$C$18*12</f>
        <v>1921.9199999999996</v>
      </c>
    </row>
    <row r="15" spans="1:51" hidden="1" x14ac:dyDescent="0.6">
      <c r="AY15" s="104"/>
    </row>
    <row r="16" spans="1:51" hidden="1" x14ac:dyDescent="0.6">
      <c r="A16" s="51" t="s">
        <v>98</v>
      </c>
      <c r="B16" s="114">
        <f>'Key Business Variables'!$F$3/12*'Key Business Variables'!$C$7</f>
        <v>3.3333333333333335</v>
      </c>
      <c r="C16" s="114">
        <f>'Key Business Variables'!$F$3/12*'Key Business Variables'!$C$7</f>
        <v>3.3333333333333335</v>
      </c>
      <c r="D16" s="114">
        <f>'Key Business Variables'!$F$3/12*'Key Business Variables'!$C$7</f>
        <v>3.3333333333333335</v>
      </c>
      <c r="E16" s="114">
        <f>'Key Business Variables'!$F$3/12*'Key Business Variables'!$C$7</f>
        <v>3.3333333333333335</v>
      </c>
      <c r="F16" s="114">
        <f>'Key Business Variables'!$F$3/12*'Key Business Variables'!$C$7</f>
        <v>3.3333333333333335</v>
      </c>
      <c r="G16" s="114">
        <f>'Key Business Variables'!$F$3/12*'Key Business Variables'!$C$7</f>
        <v>3.3333333333333335</v>
      </c>
      <c r="H16" s="114">
        <f>'Key Business Variables'!$F$3/12*'Key Business Variables'!$C$7</f>
        <v>3.3333333333333335</v>
      </c>
      <c r="I16" s="114">
        <f>'Key Business Variables'!$F$3/12*'Key Business Variables'!$C$7</f>
        <v>3.3333333333333335</v>
      </c>
      <c r="J16" s="114">
        <f>'Key Business Variables'!$F$3/12*'Key Business Variables'!$C$7</f>
        <v>3.3333333333333335</v>
      </c>
      <c r="K16" s="114">
        <f>'Key Business Variables'!$F$3/12*'Key Business Variables'!$C$7</f>
        <v>3.3333333333333335</v>
      </c>
      <c r="L16" s="114">
        <f>'Key Business Variables'!$F$3/12*'Key Business Variables'!$C$7</f>
        <v>3.3333333333333335</v>
      </c>
      <c r="M16" s="114">
        <f>'Key Business Variables'!$F$3/12*'Key Business Variables'!$C$7</f>
        <v>3.3333333333333335</v>
      </c>
      <c r="N16" s="114">
        <f>'Key Business Variables'!$G$3/12*'Key Business Variables'!$C$7</f>
        <v>3.3333333333333335</v>
      </c>
      <c r="O16" s="114">
        <f>'Key Business Variables'!$G$3/12*'Key Business Variables'!$C$7</f>
        <v>3.3333333333333335</v>
      </c>
      <c r="P16" s="114">
        <f>'Key Business Variables'!$G$3/12*'Key Business Variables'!$C$7</f>
        <v>3.3333333333333335</v>
      </c>
      <c r="Q16" s="114">
        <f>'Key Business Variables'!$G$3/12*'Key Business Variables'!$C$7</f>
        <v>3.3333333333333335</v>
      </c>
      <c r="R16" s="114">
        <f>'Key Business Variables'!$G$3/12*'Key Business Variables'!$C$7</f>
        <v>3.3333333333333335</v>
      </c>
      <c r="S16" s="114">
        <f>'Key Business Variables'!$G$3/12*'Key Business Variables'!$C$7</f>
        <v>3.3333333333333335</v>
      </c>
      <c r="T16" s="114">
        <f>'Key Business Variables'!$G$3/12*'Key Business Variables'!$C$7</f>
        <v>3.3333333333333335</v>
      </c>
      <c r="U16" s="114">
        <f>'Key Business Variables'!$G$3/12*'Key Business Variables'!$C$7</f>
        <v>3.3333333333333335</v>
      </c>
      <c r="V16" s="114">
        <f>'Key Business Variables'!$G$3/12*'Key Business Variables'!$C$7</f>
        <v>3.3333333333333335</v>
      </c>
      <c r="W16" s="114">
        <f>'Key Business Variables'!$G$3/12*'Key Business Variables'!$C$7</f>
        <v>3.3333333333333335</v>
      </c>
      <c r="X16" s="114">
        <f>'Key Business Variables'!$G$3/12*'Key Business Variables'!$C$7</f>
        <v>3.3333333333333335</v>
      </c>
      <c r="Y16" s="114">
        <f>'Key Business Variables'!$G$3/12*'Key Business Variables'!$C$7</f>
        <v>3.3333333333333335</v>
      </c>
      <c r="Z16" s="114">
        <f>'Key Business Variables'!$I$3/12*'Key Business Variables'!$C$7</f>
        <v>3.3333333333333335</v>
      </c>
      <c r="AA16" s="114">
        <f>'Key Business Variables'!$I$3/12*'Key Business Variables'!$C$7</f>
        <v>3.3333333333333335</v>
      </c>
      <c r="AB16" s="114">
        <f>'Key Business Variables'!$I$3/12*'Key Business Variables'!$C$7</f>
        <v>3.3333333333333335</v>
      </c>
      <c r="AC16" s="114">
        <f>'Key Business Variables'!$I$3/12*'Key Business Variables'!$C$7</f>
        <v>3.3333333333333335</v>
      </c>
      <c r="AD16" s="114">
        <f>'Key Business Variables'!$I$3/12*'Key Business Variables'!$C$7</f>
        <v>3.3333333333333335</v>
      </c>
      <c r="AE16" s="114">
        <f>'Key Business Variables'!$I$3/12*'Key Business Variables'!$C$7</f>
        <v>3.3333333333333335</v>
      </c>
      <c r="AF16" s="114">
        <f>'Key Business Variables'!$I$3/12*'Key Business Variables'!$C$7</f>
        <v>3.3333333333333335</v>
      </c>
      <c r="AG16" s="114">
        <f>'Key Business Variables'!$I$3/12*'Key Business Variables'!$C$7</f>
        <v>3.3333333333333335</v>
      </c>
      <c r="AH16" s="114">
        <f>'Key Business Variables'!$I$3/12*'Key Business Variables'!$C$7</f>
        <v>3.3333333333333335</v>
      </c>
      <c r="AI16" s="114">
        <f>'Key Business Variables'!$I$3/12*'Key Business Variables'!$C$7</f>
        <v>3.3333333333333335</v>
      </c>
      <c r="AJ16" s="114">
        <f>'Key Business Variables'!$I$3/12*'Key Business Variables'!$C$7</f>
        <v>3.3333333333333335</v>
      </c>
      <c r="AK16" s="114">
        <f>'Key Business Variables'!$I$3/12*'Key Business Variables'!$C$7</f>
        <v>3.3333333333333335</v>
      </c>
      <c r="AL16" s="114">
        <f>'Key Business Variables'!$J$3/12*'Key Business Variables'!$C$7</f>
        <v>3.3333333333333335</v>
      </c>
      <c r="AM16" s="114">
        <f>'Key Business Variables'!$J$3/12*'Key Business Variables'!$C$7</f>
        <v>3.3333333333333335</v>
      </c>
      <c r="AN16" s="114">
        <f>'Key Business Variables'!$J$3/12*'Key Business Variables'!$C$7</f>
        <v>3.3333333333333335</v>
      </c>
      <c r="AO16" s="114">
        <f>'Key Business Variables'!$J$3/12*'Key Business Variables'!$C$7</f>
        <v>3.3333333333333335</v>
      </c>
      <c r="AP16" s="114">
        <f>'Key Business Variables'!$J$3/12*'Key Business Variables'!$C$7</f>
        <v>3.3333333333333335</v>
      </c>
      <c r="AQ16" s="114">
        <f>'Key Business Variables'!$J$3/12*'Key Business Variables'!$C$7</f>
        <v>3.3333333333333335</v>
      </c>
      <c r="AR16" s="114">
        <f>'Key Business Variables'!$J$3/12*'Key Business Variables'!$C$7</f>
        <v>3.3333333333333335</v>
      </c>
      <c r="AS16" s="114">
        <f>'Key Business Variables'!$J$3/12*'Key Business Variables'!$C$7</f>
        <v>3.3333333333333335</v>
      </c>
      <c r="AT16" s="114">
        <f>'Key Business Variables'!$J$3/12*'Key Business Variables'!$C$7</f>
        <v>3.3333333333333335</v>
      </c>
      <c r="AU16" s="114">
        <f>'Key Business Variables'!$J$3/12*'Key Business Variables'!$C$7</f>
        <v>3.3333333333333335</v>
      </c>
      <c r="AV16" s="114">
        <f>'Key Business Variables'!$J$3/12*'Key Business Variables'!$C$7</f>
        <v>3.3333333333333335</v>
      </c>
      <c r="AW16" s="114">
        <f>'Key Business Variables'!$J$3/12*'Key Business Variables'!$C$7</f>
        <v>3.3333333333333335</v>
      </c>
      <c r="AY16" s="104"/>
    </row>
    <row r="17" spans="1:50" hidden="1" x14ac:dyDescent="0.6">
      <c r="A17" s="61" t="s">
        <v>73</v>
      </c>
      <c r="B17" s="63">
        <f>'Core Calculations'!B16</f>
        <v>3.3333333333333335</v>
      </c>
      <c r="C17" s="63">
        <f>'Core Calculations'!C16+B17</f>
        <v>6.666666666666667</v>
      </c>
      <c r="D17" s="63">
        <f>'Core Calculations'!D16+C17</f>
        <v>10</v>
      </c>
      <c r="E17" s="63">
        <f>'Core Calculations'!E16+D17</f>
        <v>13.333333333333334</v>
      </c>
      <c r="F17" s="63">
        <f>'Core Calculations'!F16+E17</f>
        <v>16.666666666666668</v>
      </c>
      <c r="G17" s="63">
        <f>'Core Calculations'!G16+F17</f>
        <v>20</v>
      </c>
      <c r="H17" s="63">
        <f>'Core Calculations'!H16+G17</f>
        <v>23.333333333333332</v>
      </c>
      <c r="I17" s="63">
        <f>'Core Calculations'!I16+H17</f>
        <v>26.666666666666664</v>
      </c>
      <c r="J17" s="63">
        <f>'Core Calculations'!J16+I17</f>
        <v>29.999999999999996</v>
      </c>
      <c r="K17" s="63">
        <f>'Core Calculations'!K16+J17</f>
        <v>33.333333333333329</v>
      </c>
      <c r="L17" s="63">
        <f>'Core Calculations'!L16+K17</f>
        <v>36.666666666666664</v>
      </c>
      <c r="M17" s="63">
        <f>'Core Calculations'!M16+L17</f>
        <v>40</v>
      </c>
      <c r="N17" s="63">
        <f>'Core Calculations'!N16+M17</f>
        <v>43.333333333333336</v>
      </c>
      <c r="O17" s="63">
        <f>'Core Calculations'!O16+N17</f>
        <v>46.666666666666671</v>
      </c>
      <c r="P17" s="63">
        <f>'Core Calculations'!P16+O17</f>
        <v>50.000000000000007</v>
      </c>
      <c r="Q17" s="63">
        <f>'Core Calculations'!Q16+P17</f>
        <v>53.333333333333343</v>
      </c>
      <c r="R17" s="63">
        <f>'Core Calculations'!R16+Q17</f>
        <v>56.666666666666679</v>
      </c>
      <c r="S17" s="63">
        <f>'Core Calculations'!S16+R17</f>
        <v>60.000000000000014</v>
      </c>
      <c r="T17" s="63">
        <f>'Core Calculations'!T16+S17</f>
        <v>63.33333333333335</v>
      </c>
      <c r="U17" s="63">
        <f>'Core Calculations'!U16+T17</f>
        <v>66.666666666666686</v>
      </c>
      <c r="V17" s="63">
        <f>'Core Calculations'!V16+U17</f>
        <v>70.000000000000014</v>
      </c>
      <c r="W17" s="63">
        <f>'Core Calculations'!W16+V17</f>
        <v>73.333333333333343</v>
      </c>
      <c r="X17" s="63">
        <f>'Core Calculations'!X16+W17</f>
        <v>76.666666666666671</v>
      </c>
      <c r="Y17" s="63">
        <f>'Core Calculations'!Y16+X17</f>
        <v>80</v>
      </c>
      <c r="Z17" s="63">
        <f>'Core Calculations'!Z16+Y17</f>
        <v>83.333333333333329</v>
      </c>
      <c r="AA17" s="63">
        <f>'Core Calculations'!AA16+Z17</f>
        <v>86.666666666666657</v>
      </c>
      <c r="AB17" s="63">
        <f>'Core Calculations'!AB16+AA17</f>
        <v>89.999999999999986</v>
      </c>
      <c r="AC17" s="63">
        <f>'Core Calculations'!AC16+AB17</f>
        <v>93.333333333333314</v>
      </c>
      <c r="AD17" s="63">
        <f>'Core Calculations'!AD16+AC17</f>
        <v>96.666666666666643</v>
      </c>
      <c r="AE17" s="63">
        <f>'Core Calculations'!AE16+AD17</f>
        <v>99.999999999999972</v>
      </c>
      <c r="AF17" s="63">
        <f>'Core Calculations'!AF16+AE17</f>
        <v>103.3333333333333</v>
      </c>
      <c r="AG17" s="63">
        <f>'Core Calculations'!AG16+AF17</f>
        <v>106.66666666666663</v>
      </c>
      <c r="AH17" s="63">
        <f>'Core Calculations'!AH16+AG17</f>
        <v>109.99999999999996</v>
      </c>
      <c r="AI17" s="63">
        <f>'Core Calculations'!AI16+AH17</f>
        <v>113.33333333333329</v>
      </c>
      <c r="AJ17" s="63">
        <f>'Core Calculations'!AJ16+AI17</f>
        <v>116.66666666666661</v>
      </c>
      <c r="AK17" s="63">
        <f>'Core Calculations'!AK16+AJ17</f>
        <v>119.99999999999994</v>
      </c>
      <c r="AL17" s="63">
        <f>'Core Calculations'!AL16+AK17</f>
        <v>123.33333333333327</v>
      </c>
      <c r="AM17" s="63">
        <f>'Core Calculations'!AM16+AL17</f>
        <v>126.6666666666666</v>
      </c>
      <c r="AN17" s="63">
        <f>'Core Calculations'!AN16+AM17</f>
        <v>129.99999999999994</v>
      </c>
      <c r="AO17" s="63">
        <f>'Core Calculations'!AO16+AN17</f>
        <v>133.33333333333329</v>
      </c>
      <c r="AP17" s="63">
        <f>'Core Calculations'!AP16+AO17</f>
        <v>136.66666666666663</v>
      </c>
      <c r="AQ17" s="63">
        <f>'Core Calculations'!AQ16+AP17</f>
        <v>139.99999999999997</v>
      </c>
      <c r="AR17" s="63">
        <f>'Core Calculations'!AR16+AQ17</f>
        <v>143.33333333333331</v>
      </c>
      <c r="AS17" s="63">
        <f>'Core Calculations'!AS16+AR17</f>
        <v>146.66666666666666</v>
      </c>
      <c r="AT17" s="63">
        <f>'Core Calculations'!AT16+AS17</f>
        <v>150</v>
      </c>
      <c r="AU17" s="63">
        <f>'Core Calculations'!AU16+AT17</f>
        <v>153.33333333333334</v>
      </c>
      <c r="AV17" s="63">
        <f>'Core Calculations'!AV16+AU17</f>
        <v>156.66666666666669</v>
      </c>
      <c r="AW17" s="63">
        <f>'Core Calculations'!AW16+AV17</f>
        <v>160.00000000000003</v>
      </c>
    </row>
    <row r="18" spans="1:50" hidden="1" x14ac:dyDescent="0.6">
      <c r="A18" s="61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</row>
    <row r="19" spans="1:50" hidden="1" x14ac:dyDescent="0.6">
      <c r="A19" s="61" t="s">
        <v>124</v>
      </c>
      <c r="B19" s="63">
        <f>(B7+B8+B13+B14)*'Key Business Variables'!$C$42/100</f>
        <v>0</v>
      </c>
      <c r="C19" s="63">
        <f>(C7+C8+C13+C14)*'Key Business Variables'!$C$42/100</f>
        <v>0</v>
      </c>
      <c r="D19" s="63">
        <f>(D7+D8+D13+D14)*'Key Business Variables'!$C$42/100</f>
        <v>0</v>
      </c>
      <c r="E19" s="63">
        <f>(E7+E8+E13+E14)*'Key Business Variables'!$C$42/100</f>
        <v>0</v>
      </c>
      <c r="F19" s="63">
        <f>(F7+F8+F13+F14)*'Key Business Variables'!$C$42/100</f>
        <v>0</v>
      </c>
      <c r="G19" s="63">
        <f>(G7+G8+G13+G14)*'Key Business Variables'!$C$42/100</f>
        <v>0</v>
      </c>
      <c r="H19" s="63">
        <f>(H7+H8+H13+H14)*'Key Business Variables'!$C$42/100</f>
        <v>0</v>
      </c>
      <c r="I19" s="63">
        <f>(I7+I8+I13+I14)*'Key Business Variables'!$C$42/100</f>
        <v>0</v>
      </c>
      <c r="J19" s="63">
        <f>(J7+J8+J13+J14)*'Key Business Variables'!$C$42/100</f>
        <v>0</v>
      </c>
      <c r="K19" s="63">
        <f>(K7+K8+K13+K14)*'Key Business Variables'!$C$42/100</f>
        <v>0</v>
      </c>
      <c r="L19" s="63">
        <f>(L7+L8+L13+L14)*'Key Business Variables'!$C$42/100</f>
        <v>0</v>
      </c>
      <c r="M19" s="63">
        <f>(M7+M8+M13+M14)*'Key Business Variables'!$C$42/100</f>
        <v>0</v>
      </c>
      <c r="N19" s="63">
        <f>((N7+N8+N13+N14)*'Key Business Variables'!$C$42/100)</f>
        <v>0</v>
      </c>
      <c r="O19" s="63">
        <f>(O7+O8+O13+O14)*'Key Business Variables'!$C$42/100</f>
        <v>0</v>
      </c>
      <c r="P19" s="63">
        <f>(P7+P8+P13+P14)*'Key Business Variables'!$C$42/100</f>
        <v>0</v>
      </c>
      <c r="Q19" s="63">
        <f>(Q7+Q8+Q13+Q14)*'Key Business Variables'!$C$42/100</f>
        <v>0</v>
      </c>
      <c r="R19" s="63">
        <f>(R7+R8+R13+R14)*'Key Business Variables'!$C$42/100</f>
        <v>0</v>
      </c>
      <c r="S19" s="63">
        <f>(S7+S8+S13+S14)*'Key Business Variables'!$C$42/100</f>
        <v>0</v>
      </c>
      <c r="T19" s="63">
        <f>(T7+T8+T13+T14)*'Key Business Variables'!$C$42/100</f>
        <v>0</v>
      </c>
      <c r="U19" s="63">
        <f>(U7+U8+U13+U14)*'Key Business Variables'!$C$42/100</f>
        <v>0</v>
      </c>
      <c r="V19" s="63">
        <f>(V7+V8+V13+V14)*'Key Business Variables'!$C$42/100</f>
        <v>0</v>
      </c>
      <c r="W19" s="63">
        <f>(W7+W8+W13+W14)*'Key Business Variables'!$C$42/100</f>
        <v>0</v>
      </c>
      <c r="X19" s="63">
        <f>(X7+X8+X13+X14)*'Key Business Variables'!$C$42/100</f>
        <v>0</v>
      </c>
      <c r="Y19" s="63">
        <f>(Y7+Y8+Y13+Y14)*'Key Business Variables'!$C$42/100</f>
        <v>0</v>
      </c>
      <c r="Z19" s="63">
        <f>(Z7+Z8+Z13+Z14)*'Key Business Variables'!$C$42/100</f>
        <v>0</v>
      </c>
      <c r="AA19" s="63">
        <f>(AA7+AA8+AA13+AA14)*'Key Business Variables'!$C$42/100</f>
        <v>0</v>
      </c>
      <c r="AB19" s="63">
        <f>(AB7+AB8+AB13+AB14)*'Key Business Variables'!$C$42/100</f>
        <v>0</v>
      </c>
      <c r="AC19" s="63">
        <f>(AC7+AC8+AC13+AC14)*'Key Business Variables'!$C$42/100</f>
        <v>0</v>
      </c>
      <c r="AD19" s="63">
        <f>(AD7+AD8+AD13+AD14)*'Key Business Variables'!$C$42/100</f>
        <v>0</v>
      </c>
      <c r="AE19" s="63">
        <f>(AE7+AE8+AE13+AE14)*'Key Business Variables'!$C$42/100</f>
        <v>0</v>
      </c>
      <c r="AF19" s="63">
        <f>(AF7+AF8+AF13+AF14)*'Key Business Variables'!$C$42/100</f>
        <v>0</v>
      </c>
      <c r="AG19" s="63">
        <f>(AG7+AG8+AG13+AG14)*'Key Business Variables'!$C$42/100</f>
        <v>0</v>
      </c>
      <c r="AH19" s="63">
        <f>(AH7+AH8+AH13+AH14)*'Key Business Variables'!$C$42/100</f>
        <v>0</v>
      </c>
      <c r="AI19" s="63">
        <f>(AI7+AI8+AI13+AI14)*'Key Business Variables'!$C$42/100</f>
        <v>0</v>
      </c>
      <c r="AJ19" s="63">
        <f>(AJ7+AJ8+AJ13+AJ14)*'Key Business Variables'!$C$42/100</f>
        <v>0</v>
      </c>
      <c r="AK19" s="63">
        <f>(AK7+AK8+AK13+AK14)*'Key Business Variables'!$C$42/100</f>
        <v>0</v>
      </c>
      <c r="AL19" s="63">
        <f>(AL7+AL8+AL13+AL14)*'Key Business Variables'!$C$42/100</f>
        <v>0</v>
      </c>
      <c r="AM19" s="63">
        <f>(AM7+AM8+AM13+AM14)*'Key Business Variables'!$C$42/100</f>
        <v>0</v>
      </c>
      <c r="AN19" s="63">
        <f>(AN7+AN8+AN13+AN14)*'Key Business Variables'!$C$42/100</f>
        <v>0</v>
      </c>
      <c r="AO19" s="63">
        <f>(AO7+AO8+AO13+AO14)*'Key Business Variables'!$C$42/100</f>
        <v>0</v>
      </c>
      <c r="AP19" s="63">
        <f>(AP7+AP8+AP13+AP14)*'Key Business Variables'!$C$42/100</f>
        <v>0</v>
      </c>
      <c r="AQ19" s="63">
        <f>(AQ7+AQ8+AQ13+AQ14)*'Key Business Variables'!$C$42/100</f>
        <v>0</v>
      </c>
      <c r="AR19" s="63">
        <f>(AR7+AR8+AR13+AR14)*'Key Business Variables'!$C$42/100</f>
        <v>0</v>
      </c>
      <c r="AS19" s="63">
        <f>(AS7+AS8+AS13+AS14)*'Key Business Variables'!$C$42/100</f>
        <v>0</v>
      </c>
      <c r="AT19" s="63">
        <f>(AT7+AT8+AT13+AT14)*'Key Business Variables'!$C$42/100</f>
        <v>0</v>
      </c>
      <c r="AU19" s="63">
        <f>(AU7+AU8+AU13+AU14)*'Key Business Variables'!$C$42/100</f>
        <v>0</v>
      </c>
      <c r="AV19" s="63">
        <f>(AV7+AV8+AV13+AV14)*'Key Business Variables'!$C$42/100</f>
        <v>0</v>
      </c>
      <c r="AW19" s="63">
        <f>(AW7+AW8+AW13+AW14)*'Key Business Variables'!$C$42/100</f>
        <v>0</v>
      </c>
    </row>
    <row r="20" spans="1:50" hidden="1" x14ac:dyDescent="0.6">
      <c r="A20" s="61" t="s">
        <v>125</v>
      </c>
      <c r="B20" s="63">
        <f>(B7+B8+B13+B14)*'Key Business Variables'!$C$43/100</f>
        <v>0</v>
      </c>
      <c r="C20" s="63">
        <f>(C7+C8+C13+C14)*'Key Business Variables'!$C$43/100</f>
        <v>0</v>
      </c>
      <c r="D20" s="63">
        <f>(D7+D8+D13+D14)*'Key Business Variables'!$C$43/100</f>
        <v>0</v>
      </c>
      <c r="E20" s="63">
        <f>(E7+E8+E13+E14)*'Key Business Variables'!$C$43/100</f>
        <v>0</v>
      </c>
      <c r="F20" s="63">
        <f>(F7+F8+F13+F14)*'Key Business Variables'!$C$43/100</f>
        <v>0</v>
      </c>
      <c r="G20" s="63">
        <f>(G7+G8+G13+G14)*'Key Business Variables'!$C$43/100</f>
        <v>0</v>
      </c>
      <c r="H20" s="63">
        <f>(H7+H8+H13+H14)*'Key Business Variables'!$C$43/100</f>
        <v>0</v>
      </c>
      <c r="I20" s="63">
        <f>(I7+I8+I13+I14)*'Key Business Variables'!$C$43/100</f>
        <v>0</v>
      </c>
      <c r="J20" s="63">
        <f>(J7+J8+J13+J14)*'Key Business Variables'!$C$43/100</f>
        <v>0</v>
      </c>
      <c r="K20" s="63">
        <f>(K7+K8+K13+K14)*'Key Business Variables'!$C$43/100</f>
        <v>0</v>
      </c>
      <c r="L20" s="63">
        <f>(L7+L8+L13+L14)*'Key Business Variables'!$C$43/100</f>
        <v>0</v>
      </c>
      <c r="M20" s="63">
        <f>(M7+M8+M13+M14)*'Key Business Variables'!$C$43/100</f>
        <v>0</v>
      </c>
      <c r="N20" s="63">
        <f>(N7+N8+N13+N14)*'Key Business Variables'!$C$43/100</f>
        <v>0</v>
      </c>
      <c r="O20" s="63">
        <f>(O7+O8+O13+O14)*'Key Business Variables'!$C$43/100</f>
        <v>0</v>
      </c>
      <c r="P20" s="63">
        <f>(P7+P8+P13+P14)*'Key Business Variables'!$C$43/100</f>
        <v>0</v>
      </c>
      <c r="Q20" s="63">
        <f>(Q7+Q8+Q13+Q14)*'Key Business Variables'!$C$43/100</f>
        <v>0</v>
      </c>
      <c r="R20" s="63">
        <f>(R7+R8+R13+R14)*'Key Business Variables'!$C$43/100</f>
        <v>0</v>
      </c>
      <c r="S20" s="63">
        <f>(S7+S8+S13+S14)*'Key Business Variables'!$C$43/100</f>
        <v>0</v>
      </c>
      <c r="T20" s="63">
        <f>(T7+T8+T13+T14)*'Key Business Variables'!$C$43/100</f>
        <v>0</v>
      </c>
      <c r="U20" s="63">
        <f>(U7+U8+U13+U14)*'Key Business Variables'!$C$43/100</f>
        <v>0</v>
      </c>
      <c r="V20" s="63">
        <f>(V7+V8+V13+V14)*'Key Business Variables'!$C$43/100</f>
        <v>0</v>
      </c>
      <c r="W20" s="63">
        <f>(W7+W8+W13+W14)*'Key Business Variables'!$C$43/100</f>
        <v>0</v>
      </c>
      <c r="X20" s="63">
        <f>(X7+X8+X13+X14)*'Key Business Variables'!$C$43/100</f>
        <v>0</v>
      </c>
      <c r="Y20" s="63">
        <f>(Y7+Y8+Y13+Y14)*'Key Business Variables'!$C$43/100</f>
        <v>0</v>
      </c>
      <c r="Z20" s="63">
        <f>(Z7+Z8+Z13+Z14)*'Key Business Variables'!$C$43/100</f>
        <v>0</v>
      </c>
      <c r="AA20" s="63">
        <f>(AA7+AA8+AA13+AA14)*'Key Business Variables'!$C$43/100</f>
        <v>0</v>
      </c>
      <c r="AB20" s="63">
        <f>(AB7+AB8+AB13+AB14)*'Key Business Variables'!$C$43/100</f>
        <v>0</v>
      </c>
      <c r="AC20" s="63">
        <f>(AC7+AC8+AC13+AC14)*'Key Business Variables'!$C$43/100</f>
        <v>0</v>
      </c>
      <c r="AD20" s="63">
        <f>(AD7+AD8+AD13+AD14)*'Key Business Variables'!$C$43/100</f>
        <v>0</v>
      </c>
      <c r="AE20" s="63">
        <f>(AE7+AE8+AE13+AE14)*'Key Business Variables'!$C$43/100</f>
        <v>0</v>
      </c>
      <c r="AF20" s="63">
        <f>(AF7+AF8+AF13+AF14)*'Key Business Variables'!$C$43/100</f>
        <v>0</v>
      </c>
      <c r="AG20" s="63">
        <f>(AG7+AG8+AG13+AG14)*'Key Business Variables'!$C$43/100</f>
        <v>0</v>
      </c>
      <c r="AH20" s="63">
        <f>(AH7+AH8+AH13+AH14)*'Key Business Variables'!$C$43/100</f>
        <v>0</v>
      </c>
      <c r="AI20" s="63">
        <f>(AI7+AI8+AI13+AI14)*'Key Business Variables'!$C$43/100</f>
        <v>0</v>
      </c>
      <c r="AJ20" s="63">
        <f>(AJ7+AJ8+AJ13+AJ14)*'Key Business Variables'!$C$43/100</f>
        <v>0</v>
      </c>
      <c r="AK20" s="63">
        <f>(AK7+AK8+AK13+AK14)*'Key Business Variables'!$C$43/100</f>
        <v>0</v>
      </c>
      <c r="AL20" s="63">
        <f>(AL7+AL8+AL13+AL14)*'Key Business Variables'!$C$43/100</f>
        <v>0</v>
      </c>
      <c r="AM20" s="63">
        <f>(AM7+AM8+AM13+AM14)*'Key Business Variables'!$C$43/100</f>
        <v>0</v>
      </c>
      <c r="AN20" s="63">
        <f>(AN7+AN8+AN13+AN14)*'Key Business Variables'!$C$43/100</f>
        <v>0</v>
      </c>
      <c r="AO20" s="63">
        <f>(AO7+AO8+AO13+AO14)*'Key Business Variables'!$C$43/100</f>
        <v>0</v>
      </c>
      <c r="AP20" s="63">
        <f>(AP7+AP8+AP13+AP14)*'Key Business Variables'!$C$43/100</f>
        <v>0</v>
      </c>
      <c r="AQ20" s="63">
        <f>(AQ7+AQ8+AQ13+AQ14)*'Key Business Variables'!$C$43/100</f>
        <v>0</v>
      </c>
      <c r="AR20" s="63">
        <f>(AR7+AR8+AR13+AR14)*'Key Business Variables'!$C$43/100</f>
        <v>0</v>
      </c>
      <c r="AS20" s="63">
        <f>(AS7+AS8+AS13+AS14)*'Key Business Variables'!$C$43/100</f>
        <v>0</v>
      </c>
      <c r="AT20" s="63">
        <f>(AT7+AT8+AT13+AT14)*'Key Business Variables'!$C$43/100</f>
        <v>0</v>
      </c>
      <c r="AU20" s="63">
        <f>(AU7+AU8+AU13+AU14)*'Key Business Variables'!$C$43/100</f>
        <v>0</v>
      </c>
      <c r="AV20" s="63">
        <f>(AV7+AV8+AV13+AV14)*'Key Business Variables'!$C$43/100</f>
        <v>0</v>
      </c>
      <c r="AW20" s="63">
        <f>(AW7+AW8+AW13+AW14)*'Key Business Variables'!$C$43/100</f>
        <v>0</v>
      </c>
    </row>
    <row r="21" spans="1:50" hidden="1" x14ac:dyDescent="0.6">
      <c r="A21" s="61" t="s">
        <v>181</v>
      </c>
      <c r="B21" s="63">
        <f>(B7+B8+B13+B14)*'Key Business Variables'!$C$44/100</f>
        <v>0</v>
      </c>
      <c r="C21" s="63">
        <f>(C7+C8+C13+C14)*'Key Business Variables'!$C$44/100</f>
        <v>0</v>
      </c>
      <c r="D21" s="63">
        <f>(D7+D8+D13+D14)*'Key Business Variables'!$C$44/100</f>
        <v>0</v>
      </c>
      <c r="E21" s="63">
        <f>(E7+E8+E13+E14)*'Key Business Variables'!$C$44/100</f>
        <v>0</v>
      </c>
      <c r="F21" s="63">
        <f>(F7+F8+F13+F14)*'Key Business Variables'!$C$44/100</f>
        <v>0</v>
      </c>
      <c r="G21" s="63">
        <f>(G7+G8+G13+G14)*'Key Business Variables'!$C$44/100</f>
        <v>0</v>
      </c>
      <c r="H21" s="63">
        <f>(H7+H8+H13+H14)*'Key Business Variables'!$C$44/100</f>
        <v>0</v>
      </c>
      <c r="I21" s="63">
        <f>(I7+I8+I13+I14)*'Key Business Variables'!$C$44/100</f>
        <v>0</v>
      </c>
      <c r="J21" s="63">
        <f>(J7+J8+J13+J14)*'Key Business Variables'!$C$44/100</f>
        <v>0</v>
      </c>
      <c r="K21" s="63">
        <f>(K7+K8+K13+K14)*'Key Business Variables'!$C$44/100</f>
        <v>0</v>
      </c>
      <c r="L21" s="63">
        <f>(L7+L8+L13+L14)*'Key Business Variables'!$C$44/100</f>
        <v>0</v>
      </c>
      <c r="M21" s="63">
        <f>(M7+M8+M13+M14)*'Key Business Variables'!$C$44/100</f>
        <v>0</v>
      </c>
      <c r="N21" s="63">
        <f>(N7+N8+N13+N14)*'Key Business Variables'!$C$44/100</f>
        <v>0</v>
      </c>
      <c r="O21" s="63">
        <f>(O7+O8+O13+O14)*'Key Business Variables'!$C$44/100</f>
        <v>0</v>
      </c>
      <c r="P21" s="63">
        <f>(P7+P8+P13+P14)*'Key Business Variables'!$C$44/100</f>
        <v>0</v>
      </c>
      <c r="Q21" s="63">
        <f>(Q7+Q8+Q13+Q14)*'Key Business Variables'!$C$44/100</f>
        <v>0</v>
      </c>
      <c r="R21" s="63">
        <f>(R7+R8+R13+R14)*'Key Business Variables'!$C$44/100</f>
        <v>0</v>
      </c>
      <c r="S21" s="63">
        <f>(S7+S8+S13+S14)*'Key Business Variables'!$C$44/100</f>
        <v>0</v>
      </c>
      <c r="T21" s="63">
        <f>(T7+T8+T13+T14)*'Key Business Variables'!$C$44/100</f>
        <v>0</v>
      </c>
      <c r="U21" s="63">
        <f>(U7+U8+U13+U14)*'Key Business Variables'!$C$44/100</f>
        <v>0</v>
      </c>
      <c r="V21" s="63">
        <f>(V7+V8+V13+V14)*'Key Business Variables'!$C$44/100</f>
        <v>0</v>
      </c>
      <c r="W21" s="63">
        <f>(W7+W8+W13+W14)*'Key Business Variables'!$C$44/100</f>
        <v>0</v>
      </c>
      <c r="X21" s="63">
        <f>(X7+X8+X13+X14)*'Key Business Variables'!$C$44/100</f>
        <v>0</v>
      </c>
      <c r="Y21" s="63">
        <f>(Y7+Y8+Y13+Y14)*'Key Business Variables'!$C$44/100</f>
        <v>0</v>
      </c>
      <c r="Z21" s="63">
        <f>(Z7+Z8+Z13+Z14)*'Key Business Variables'!$C$44/100</f>
        <v>0</v>
      </c>
      <c r="AA21" s="63">
        <f>(AA7+AA8+AA13+AA14)*'Key Business Variables'!$C$44/100</f>
        <v>0</v>
      </c>
      <c r="AB21" s="63">
        <f>(AB7+AB8+AB13+AB14)*'Key Business Variables'!$C$44/100</f>
        <v>0</v>
      </c>
      <c r="AC21" s="63">
        <f>(AC7+AC8+AC13+AC14)*'Key Business Variables'!$C$44/100</f>
        <v>0</v>
      </c>
      <c r="AD21" s="63">
        <f>(AD7+AD8+AD13+AD14)*'Key Business Variables'!$C$44/100</f>
        <v>0</v>
      </c>
      <c r="AE21" s="63">
        <f>(AE7+AE8+AE13+AE14)*'Key Business Variables'!$C$44/100</f>
        <v>0</v>
      </c>
      <c r="AF21" s="63">
        <f>(AF7+AF8+AF13+AF14)*'Key Business Variables'!$C$44/100</f>
        <v>0</v>
      </c>
      <c r="AG21" s="63">
        <f>(AG7+AG8+AG13+AG14)*'Key Business Variables'!$C$44/100</f>
        <v>0</v>
      </c>
      <c r="AH21" s="63">
        <f>(AH7+AH8+AH13+AH14)*'Key Business Variables'!$C$44/100</f>
        <v>0</v>
      </c>
      <c r="AI21" s="63">
        <f>(AI7+AI8+AI13+AI14)*'Key Business Variables'!$C$44/100</f>
        <v>0</v>
      </c>
      <c r="AJ21" s="63">
        <f>(AJ7+AJ8+AJ13+AJ14)*'Key Business Variables'!$C$44/100</f>
        <v>0</v>
      </c>
      <c r="AK21" s="63">
        <f>(AK7+AK8+AK13+AK14)*'Key Business Variables'!$C$44/100</f>
        <v>0</v>
      </c>
      <c r="AL21" s="63">
        <f>(AL7+AL8+AL13+AL14)*'Key Business Variables'!$C$44/100</f>
        <v>0</v>
      </c>
      <c r="AM21" s="63">
        <f>(AM7+AM8+AM13+AM14)*'Key Business Variables'!$C$44/100</f>
        <v>0</v>
      </c>
      <c r="AN21" s="63">
        <f>(AN7+AN8+AN13+AN14)*'Key Business Variables'!$C$44/100</f>
        <v>0</v>
      </c>
      <c r="AO21" s="63">
        <f>(AO7+AO8+AO13+AO14)*'Key Business Variables'!$C$44/100</f>
        <v>0</v>
      </c>
      <c r="AP21" s="63">
        <f>(AP7+AP8+AP13+AP14)*'Key Business Variables'!$C$44/100</f>
        <v>0</v>
      </c>
      <c r="AQ21" s="63">
        <f>(AQ7+AQ8+AQ13+AQ14)*'Key Business Variables'!$C$44/100</f>
        <v>0</v>
      </c>
      <c r="AR21" s="63">
        <f>(AR7+AR8+AR13+AR14)*'Key Business Variables'!$C$44/100</f>
        <v>0</v>
      </c>
      <c r="AS21" s="63">
        <f>(AS7+AS8+AS13+AS14)*'Key Business Variables'!$C$44/100</f>
        <v>0</v>
      </c>
      <c r="AT21" s="63">
        <f>(AT7+AT8+AT13+AT14)*'Key Business Variables'!$C$44/100</f>
        <v>0</v>
      </c>
      <c r="AU21" s="63">
        <f>(AU7+AU8+AU13+AU14)*'Key Business Variables'!$C$44/100</f>
        <v>0</v>
      </c>
      <c r="AV21" s="63">
        <f>(AV7+AV8+AV13+AV14)*'Key Business Variables'!$C$44/100</f>
        <v>0</v>
      </c>
      <c r="AW21" s="63">
        <f>(AW7+AW8+AW13+AW14)*'Key Business Variables'!$C$44/100</f>
        <v>0</v>
      </c>
    </row>
    <row r="22" spans="1:50" hidden="1" x14ac:dyDescent="0.6">
      <c r="A22" s="61"/>
      <c r="B22" s="64"/>
      <c r="C22" s="62"/>
      <c r="D22" s="62"/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2"/>
      <c r="AW22" s="62"/>
    </row>
    <row r="23" spans="1:50" hidden="1" x14ac:dyDescent="0.6">
      <c r="A23" s="80" t="s">
        <v>18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</row>
    <row r="24" spans="1:50" hidden="1" x14ac:dyDescent="0.6">
      <c r="A24" s="61" t="s">
        <v>167</v>
      </c>
      <c r="B24" s="66">
        <f>(B7)*'Key Business Variables'!$C$17</f>
        <v>525</v>
      </c>
      <c r="C24" s="66">
        <f>(C7)*'Key Business Variables'!$C$17</f>
        <v>1050</v>
      </c>
      <c r="D24" s="66">
        <f>(D7)*'Key Business Variables'!$C$17</f>
        <v>1575</v>
      </c>
      <c r="E24" s="66">
        <f>(E7)*'Key Business Variables'!$C$17</f>
        <v>2100</v>
      </c>
      <c r="F24" s="66">
        <f>(F7)*'Key Business Variables'!$C$17</f>
        <v>2625</v>
      </c>
      <c r="G24" s="66">
        <f>(G7)*'Key Business Variables'!$C$17</f>
        <v>3150</v>
      </c>
      <c r="H24" s="66">
        <f>(H7)*'Key Business Variables'!$C$17</f>
        <v>3675</v>
      </c>
      <c r="I24" s="66">
        <f>(I7)*'Key Business Variables'!$C$17</f>
        <v>4200</v>
      </c>
      <c r="J24" s="66">
        <f>(J7)*'Key Business Variables'!$C$17</f>
        <v>4725</v>
      </c>
      <c r="K24" s="66">
        <f>(K7)*'Key Business Variables'!$C$17</f>
        <v>5250</v>
      </c>
      <c r="L24" s="66">
        <f>(L7)*'Key Business Variables'!$C$17</f>
        <v>5775</v>
      </c>
      <c r="M24" s="66">
        <f>(M7)*'Key Business Variables'!$C$17</f>
        <v>6300</v>
      </c>
      <c r="N24" s="66">
        <f>(N7)*'Key Business Variables'!$C$17</f>
        <v>6798.75</v>
      </c>
      <c r="O24" s="66">
        <f>(O7)*'Key Business Variables'!$C$17</f>
        <v>7297.5</v>
      </c>
      <c r="P24" s="66">
        <f>(P7)*'Key Business Variables'!$C$17</f>
        <v>7796.25</v>
      </c>
      <c r="Q24" s="66">
        <f>(Q7)*'Key Business Variables'!$C$17</f>
        <v>8295</v>
      </c>
      <c r="R24" s="66">
        <f>(R7)*'Key Business Variables'!$C$17</f>
        <v>8793.75</v>
      </c>
      <c r="S24" s="66">
        <f>(S7)*'Key Business Variables'!$C$17</f>
        <v>9292.5</v>
      </c>
      <c r="T24" s="66">
        <f>(T7)*'Key Business Variables'!$C$17</f>
        <v>9791.25</v>
      </c>
      <c r="U24" s="66">
        <f>(U7)*'Key Business Variables'!$C$17</f>
        <v>10290</v>
      </c>
      <c r="V24" s="66">
        <f>(V7)*'Key Business Variables'!$C$17</f>
        <v>10788.75</v>
      </c>
      <c r="W24" s="66">
        <f>(W7)*'Key Business Variables'!$C$17</f>
        <v>11287.5</v>
      </c>
      <c r="X24" s="66">
        <f>(X7)*'Key Business Variables'!$C$17</f>
        <v>11786.25</v>
      </c>
      <c r="Y24" s="66">
        <f>(Y7)*'Key Business Variables'!$C$17</f>
        <v>12285</v>
      </c>
      <c r="Z24" s="66">
        <f>(Z7)*'Key Business Variables'!$C$17</f>
        <v>12783.75</v>
      </c>
      <c r="AA24" s="66">
        <f>(AA7)*'Key Business Variables'!$C$17</f>
        <v>13282.5</v>
      </c>
      <c r="AB24" s="66">
        <f>(AB7)*'Key Business Variables'!$C$17</f>
        <v>13781.25</v>
      </c>
      <c r="AC24" s="66">
        <f>(AC7)*'Key Business Variables'!$C$17</f>
        <v>14280</v>
      </c>
      <c r="AD24" s="66">
        <f>(AD7)*'Key Business Variables'!$C$17</f>
        <v>14778.75</v>
      </c>
      <c r="AE24" s="66">
        <f>(AE7)*'Key Business Variables'!$C$17</f>
        <v>15277.5</v>
      </c>
      <c r="AF24" s="66">
        <f>(AF7)*'Key Business Variables'!$C$17</f>
        <v>15776.25</v>
      </c>
      <c r="AG24" s="66">
        <f>(AG7)*'Key Business Variables'!$C$17</f>
        <v>16275</v>
      </c>
      <c r="AH24" s="66">
        <f>(AH7)*'Key Business Variables'!$C$17</f>
        <v>16773.75</v>
      </c>
      <c r="AI24" s="66">
        <f>(AI7)*'Key Business Variables'!$C$17</f>
        <v>17272.5</v>
      </c>
      <c r="AJ24" s="66">
        <f>(AJ7)*'Key Business Variables'!$C$17</f>
        <v>17771.25</v>
      </c>
      <c r="AK24" s="66">
        <f>(AK7)*'Key Business Variables'!$C$17</f>
        <v>18270</v>
      </c>
      <c r="AL24" s="66">
        <f>(AL7)*'Key Business Variables'!$C$17</f>
        <v>18768.75</v>
      </c>
      <c r="AM24" s="66">
        <f>(AM7)*'Key Business Variables'!$C$17</f>
        <v>19267.5</v>
      </c>
      <c r="AN24" s="66">
        <f>(AN7)*'Key Business Variables'!$C$17</f>
        <v>19766.25</v>
      </c>
      <c r="AO24" s="66">
        <f>(AO7)*'Key Business Variables'!$C$17</f>
        <v>20265</v>
      </c>
      <c r="AP24" s="66">
        <f>(AP7)*'Key Business Variables'!$C$17</f>
        <v>20763.75</v>
      </c>
      <c r="AQ24" s="66">
        <f>(AQ7)*'Key Business Variables'!$C$17</f>
        <v>21262.5</v>
      </c>
      <c r="AR24" s="66">
        <f>(AR7)*'Key Business Variables'!$C$17</f>
        <v>21761.25</v>
      </c>
      <c r="AS24" s="66">
        <f>(AS7)*'Key Business Variables'!$C$17</f>
        <v>22260</v>
      </c>
      <c r="AT24" s="66">
        <f>(AT7)*'Key Business Variables'!$C$17</f>
        <v>22758.75</v>
      </c>
      <c r="AU24" s="66">
        <f>(AU7)*'Key Business Variables'!$C$17</f>
        <v>23257.5</v>
      </c>
      <c r="AV24" s="66">
        <f>(AV7)*'Key Business Variables'!$C$17</f>
        <v>23756.25</v>
      </c>
      <c r="AW24" s="66">
        <f>(AW7)*'Key Business Variables'!$C$17</f>
        <v>24255</v>
      </c>
      <c r="AX24" s="67">
        <f>SUM(B24:AW27)</f>
        <v>950116.96000000054</v>
      </c>
    </row>
    <row r="25" spans="1:50" hidden="1" x14ac:dyDescent="0.6">
      <c r="A25" s="61" t="s">
        <v>170</v>
      </c>
      <c r="B25" s="66">
        <f>(B8)*'Key Business Variables'!$C$18</f>
        <v>30</v>
      </c>
      <c r="C25" s="66">
        <f>(C8)*'Key Business Variables'!$C$18</f>
        <v>60</v>
      </c>
      <c r="D25" s="66">
        <f>(D8)*'Key Business Variables'!$C$18</f>
        <v>90</v>
      </c>
      <c r="E25" s="66">
        <f>(E8)*'Key Business Variables'!$C$18</f>
        <v>120</v>
      </c>
      <c r="F25" s="66">
        <f>(F8)*'Key Business Variables'!$C$18</f>
        <v>150</v>
      </c>
      <c r="G25" s="66">
        <f>(G8)*'Key Business Variables'!$C$18</f>
        <v>180</v>
      </c>
      <c r="H25" s="66">
        <f>(H8)*'Key Business Variables'!$C$18</f>
        <v>210</v>
      </c>
      <c r="I25" s="66">
        <f>(I8)*'Key Business Variables'!$C$18</f>
        <v>240</v>
      </c>
      <c r="J25" s="66">
        <f>(J8)*'Key Business Variables'!$C$18</f>
        <v>270</v>
      </c>
      <c r="K25" s="66">
        <f>(K8)*'Key Business Variables'!$C$18</f>
        <v>300</v>
      </c>
      <c r="L25" s="66">
        <f>(L8)*'Key Business Variables'!$C$18</f>
        <v>330</v>
      </c>
      <c r="M25" s="66">
        <f>(M8)*'Key Business Variables'!$C$18</f>
        <v>360</v>
      </c>
      <c r="N25" s="66">
        <f>(N8)*'Key Business Variables'!$C$18</f>
        <v>388.5</v>
      </c>
      <c r="O25" s="66">
        <f>(O8)*'Key Business Variables'!$C$18</f>
        <v>417</v>
      </c>
      <c r="P25" s="66">
        <f>(P8)*'Key Business Variables'!$C$18</f>
        <v>445.5</v>
      </c>
      <c r="Q25" s="66">
        <f>(Q8)*'Key Business Variables'!$C$18</f>
        <v>474</v>
      </c>
      <c r="R25" s="66">
        <f>(R8)*'Key Business Variables'!$C$18</f>
        <v>502.5</v>
      </c>
      <c r="S25" s="66">
        <f>(S8)*'Key Business Variables'!$C$18</f>
        <v>531</v>
      </c>
      <c r="T25" s="66">
        <f>(T8)*'Key Business Variables'!$C$18</f>
        <v>559.5</v>
      </c>
      <c r="U25" s="66">
        <f>(U8)*'Key Business Variables'!$C$18</f>
        <v>588</v>
      </c>
      <c r="V25" s="66">
        <f>(V8)*'Key Business Variables'!$C$18</f>
        <v>616.5</v>
      </c>
      <c r="W25" s="66">
        <f>(W8)*'Key Business Variables'!$C$18</f>
        <v>645</v>
      </c>
      <c r="X25" s="66">
        <f>(X8)*'Key Business Variables'!$C$18</f>
        <v>673.5</v>
      </c>
      <c r="Y25" s="66">
        <f>(Y8)*'Key Business Variables'!$C$18</f>
        <v>702</v>
      </c>
      <c r="Z25" s="66">
        <f>(Z8)*'Key Business Variables'!$C$18</f>
        <v>730.5</v>
      </c>
      <c r="AA25" s="66">
        <f>(AA8)*'Key Business Variables'!$C$18</f>
        <v>759</v>
      </c>
      <c r="AB25" s="66">
        <f>(AB8)*'Key Business Variables'!$C$18</f>
        <v>787.5</v>
      </c>
      <c r="AC25" s="66">
        <f>(AC8)*'Key Business Variables'!$C$18</f>
        <v>816</v>
      </c>
      <c r="AD25" s="66">
        <f>(AD8)*'Key Business Variables'!$C$18</f>
        <v>844.5</v>
      </c>
      <c r="AE25" s="66">
        <f>(AE8)*'Key Business Variables'!$C$18</f>
        <v>873</v>
      </c>
      <c r="AF25" s="66">
        <f>(AF8)*'Key Business Variables'!$C$18</f>
        <v>901.5</v>
      </c>
      <c r="AG25" s="66">
        <f>(AG8)*'Key Business Variables'!$C$18</f>
        <v>930</v>
      </c>
      <c r="AH25" s="66">
        <f>(AH8)*'Key Business Variables'!$C$18</f>
        <v>958.5</v>
      </c>
      <c r="AI25" s="66">
        <f>(AI8)*'Key Business Variables'!$C$18</f>
        <v>987</v>
      </c>
      <c r="AJ25" s="66">
        <f>(AJ8)*'Key Business Variables'!$C$18</f>
        <v>1015.5</v>
      </c>
      <c r="AK25" s="66">
        <f>(AK8)*'Key Business Variables'!$C$18</f>
        <v>1044</v>
      </c>
      <c r="AL25" s="66">
        <f>(AL8)*'Key Business Variables'!$C$18</f>
        <v>1072.5</v>
      </c>
      <c r="AM25" s="66">
        <f>(AM8)*'Key Business Variables'!$C$18</f>
        <v>1101</v>
      </c>
      <c r="AN25" s="66">
        <f>(AN8)*'Key Business Variables'!$C$18</f>
        <v>1129.5</v>
      </c>
      <c r="AO25" s="66">
        <f>(AO8)*'Key Business Variables'!$C$18</f>
        <v>1158</v>
      </c>
      <c r="AP25" s="66">
        <f>(AP8)*'Key Business Variables'!$C$18</f>
        <v>1186.5</v>
      </c>
      <c r="AQ25" s="66">
        <f>(AQ8)*'Key Business Variables'!$C$18</f>
        <v>1215</v>
      </c>
      <c r="AR25" s="66">
        <f>(AR8)*'Key Business Variables'!$C$18</f>
        <v>1243.5</v>
      </c>
      <c r="AS25" s="66">
        <f>(AS8)*'Key Business Variables'!$C$18</f>
        <v>1272</v>
      </c>
      <c r="AT25" s="66">
        <f>(AT8)*'Key Business Variables'!$C$18</f>
        <v>1300.5</v>
      </c>
      <c r="AU25" s="66">
        <f>(AU8)*'Key Business Variables'!$C$18</f>
        <v>1329</v>
      </c>
      <c r="AV25" s="66">
        <f>(AV8)*'Key Business Variables'!$C$18</f>
        <v>1357.5</v>
      </c>
      <c r="AW25" s="66">
        <f>(AW8)*'Key Business Variables'!$C$18</f>
        <v>1386</v>
      </c>
      <c r="AX25" s="67"/>
    </row>
    <row r="26" spans="1:50" hidden="1" x14ac:dyDescent="0.6">
      <c r="A26" s="61" t="s">
        <v>168</v>
      </c>
      <c r="B26" s="66">
        <f>(B13)*'Key Business Variables'!$C$17</f>
        <v>273</v>
      </c>
      <c r="C26" s="66">
        <f>(C13)*'Key Business Variables'!$C$17</f>
        <v>546</v>
      </c>
      <c r="D26" s="66">
        <f>(D13)*'Key Business Variables'!$C$17</f>
        <v>819.00000000000011</v>
      </c>
      <c r="E26" s="66">
        <f>(E13)*'Key Business Variables'!$C$17</f>
        <v>1092</v>
      </c>
      <c r="F26" s="66">
        <f>(F13)*'Key Business Variables'!$C$17</f>
        <v>1365</v>
      </c>
      <c r="G26" s="66">
        <f>(G13)*'Key Business Variables'!$C$17</f>
        <v>1638</v>
      </c>
      <c r="H26" s="66">
        <f>(H13)*'Key Business Variables'!$C$17</f>
        <v>1910.9999999999998</v>
      </c>
      <c r="I26" s="66">
        <f>(I13)*'Key Business Variables'!$C$17</f>
        <v>2183.9999999999995</v>
      </c>
      <c r="J26" s="66">
        <f>(J13)*'Key Business Variables'!$C$17</f>
        <v>2456.9999999999995</v>
      </c>
      <c r="K26" s="66">
        <f>(K13)*'Key Business Variables'!$C$17</f>
        <v>2729.9999999999995</v>
      </c>
      <c r="L26" s="66">
        <f>(L13)*'Key Business Variables'!$C$17</f>
        <v>3002.9999999999995</v>
      </c>
      <c r="M26" s="66">
        <f>(M13)*'Key Business Variables'!$C$17</f>
        <v>3275.9999999999991</v>
      </c>
      <c r="N26" s="66">
        <f>(N13)*'Key Business Variables'!$C$17</f>
        <v>3535.349999999999</v>
      </c>
      <c r="O26" s="66">
        <f>(O13)*'Key Business Variables'!$C$17</f>
        <v>3794.6999999999989</v>
      </c>
      <c r="P26" s="66">
        <f>(P13)*'Key Business Variables'!$C$17</f>
        <v>4054.0499999999988</v>
      </c>
      <c r="Q26" s="66">
        <f>(Q13)*'Key Business Variables'!$C$17</f>
        <v>4313.3999999999987</v>
      </c>
      <c r="R26" s="66">
        <f>(R13)*'Key Business Variables'!$C$17</f>
        <v>4572.7499999999991</v>
      </c>
      <c r="S26" s="66">
        <f>(S13)*'Key Business Variables'!$C$17</f>
        <v>4832.1000000000004</v>
      </c>
      <c r="T26" s="66">
        <f>(T13)*'Key Business Variables'!$C$17</f>
        <v>5091.4500000000007</v>
      </c>
      <c r="U26" s="66">
        <f>(U13)*'Key Business Variables'!$C$17</f>
        <v>5350.800000000002</v>
      </c>
      <c r="V26" s="66">
        <f>(V13)*'Key Business Variables'!$C$17</f>
        <v>5610.1500000000024</v>
      </c>
      <c r="W26" s="66">
        <f>(W13)*'Key Business Variables'!$C$17</f>
        <v>5869.5000000000036</v>
      </c>
      <c r="X26" s="66">
        <f>(X13)*'Key Business Variables'!$C$17</f>
        <v>6128.850000000004</v>
      </c>
      <c r="Y26" s="66">
        <f>(Y13)*'Key Business Variables'!$C$17</f>
        <v>6388.2000000000053</v>
      </c>
      <c r="Z26" s="66">
        <f>(Z13)*'Key Business Variables'!$C$17</f>
        <v>6647.5500000000065</v>
      </c>
      <c r="AA26" s="66">
        <f>(AA13)*'Key Business Variables'!$C$17</f>
        <v>6906.9000000000069</v>
      </c>
      <c r="AB26" s="66">
        <f>(AB13)*'Key Business Variables'!$C$17</f>
        <v>7166.2500000000082</v>
      </c>
      <c r="AC26" s="66">
        <f>(AC13)*'Key Business Variables'!$C$17</f>
        <v>7425.6000000000085</v>
      </c>
      <c r="AD26" s="66">
        <f>(AD13)*'Key Business Variables'!$C$17</f>
        <v>7684.9500000000098</v>
      </c>
      <c r="AE26" s="66">
        <f>(AE13)*'Key Business Variables'!$C$17</f>
        <v>7944.3000000000102</v>
      </c>
      <c r="AF26" s="66">
        <f>(AF13)*'Key Business Variables'!$C$17</f>
        <v>8203.6500000000124</v>
      </c>
      <c r="AG26" s="66">
        <f>(AG13)*'Key Business Variables'!$C$17</f>
        <v>8463.0000000000127</v>
      </c>
      <c r="AH26" s="66">
        <f>(AH13)*'Key Business Variables'!$C$17</f>
        <v>8722.3500000000131</v>
      </c>
      <c r="AI26" s="66">
        <f>(AI13)*'Key Business Variables'!$C$17</f>
        <v>8981.7000000000135</v>
      </c>
      <c r="AJ26" s="66">
        <f>(AJ13)*'Key Business Variables'!$C$17</f>
        <v>9241.0500000000156</v>
      </c>
      <c r="AK26" s="66">
        <f>(AK13)*'Key Business Variables'!$C$17</f>
        <v>9500.400000000016</v>
      </c>
      <c r="AL26" s="66">
        <f>(AL13)*'Key Business Variables'!$C$17</f>
        <v>9759.7500000000164</v>
      </c>
      <c r="AM26" s="66">
        <f>(AM13)*'Key Business Variables'!$C$17</f>
        <v>10019.100000000017</v>
      </c>
      <c r="AN26" s="66">
        <f>(AN13)*'Key Business Variables'!$C$17</f>
        <v>10278.450000000019</v>
      </c>
      <c r="AO26" s="66">
        <f>(AO13)*'Key Business Variables'!$C$17</f>
        <v>10537.800000000019</v>
      </c>
      <c r="AP26" s="66">
        <f>(AP13)*'Key Business Variables'!$C$17</f>
        <v>10797.15000000002</v>
      </c>
      <c r="AQ26" s="66">
        <f>(AQ13)*'Key Business Variables'!$C$17</f>
        <v>11056.500000000022</v>
      </c>
      <c r="AR26" s="66">
        <f>(AR13)*'Key Business Variables'!$C$17</f>
        <v>11315.850000000022</v>
      </c>
      <c r="AS26" s="66">
        <f>(AS13)*'Key Business Variables'!$C$17</f>
        <v>11575.200000000023</v>
      </c>
      <c r="AT26" s="66">
        <f>(AT13)*'Key Business Variables'!$C$17</f>
        <v>11834.550000000023</v>
      </c>
      <c r="AU26" s="66">
        <f>(AU13)*'Key Business Variables'!$C$17</f>
        <v>12093.900000000025</v>
      </c>
      <c r="AV26" s="66">
        <f>(AV13)*'Key Business Variables'!$C$17</f>
        <v>12353.250000000025</v>
      </c>
      <c r="AW26" s="66">
        <f>(AW13)*'Key Business Variables'!$C$17</f>
        <v>12612.600000000026</v>
      </c>
      <c r="AX26" s="67"/>
    </row>
    <row r="27" spans="1:50" hidden="1" x14ac:dyDescent="0.6">
      <c r="A27" s="61" t="s">
        <v>169</v>
      </c>
      <c r="B27" s="66">
        <f>(B14)*'Key Business Variables'!$C$18</f>
        <v>3.4666666666666668</v>
      </c>
      <c r="C27" s="66">
        <f>(C14)*'Key Business Variables'!$C$18</f>
        <v>6.9333333333333336</v>
      </c>
      <c r="D27" s="66">
        <f>(D14)*'Key Business Variables'!$C$18</f>
        <v>10.4</v>
      </c>
      <c r="E27" s="66">
        <f>(E14)*'Key Business Variables'!$C$18</f>
        <v>13.866666666666667</v>
      </c>
      <c r="F27" s="66">
        <f>(F14)*'Key Business Variables'!$C$18</f>
        <v>17.333333333333336</v>
      </c>
      <c r="G27" s="66">
        <f>(G14)*'Key Business Variables'!$C$18</f>
        <v>20.800000000000004</v>
      </c>
      <c r="H27" s="66">
        <f>(H14)*'Key Business Variables'!$C$18</f>
        <v>24.266666666666673</v>
      </c>
      <c r="I27" s="66">
        <f>(I14)*'Key Business Variables'!$C$18</f>
        <v>27.733333333333341</v>
      </c>
      <c r="J27" s="66">
        <f>(J14)*'Key Business Variables'!$C$18</f>
        <v>31.20000000000001</v>
      </c>
      <c r="K27" s="66">
        <f>(K14)*'Key Business Variables'!$C$18</f>
        <v>34.666666666666679</v>
      </c>
      <c r="L27" s="66">
        <f>(L14)*'Key Business Variables'!$C$18</f>
        <v>38.133333333333347</v>
      </c>
      <c r="M27" s="66">
        <f>(M14)*'Key Business Variables'!$C$18</f>
        <v>41.600000000000016</v>
      </c>
      <c r="N27" s="66">
        <f>(N14)*'Key Business Variables'!$C$18</f>
        <v>44.893333333333352</v>
      </c>
      <c r="O27" s="66">
        <f>(O14)*'Key Business Variables'!$C$18</f>
        <v>48.186666666666689</v>
      </c>
      <c r="P27" s="66">
        <f>(P14)*'Key Business Variables'!$C$18</f>
        <v>51.480000000000025</v>
      </c>
      <c r="Q27" s="66">
        <f>(Q14)*'Key Business Variables'!$C$18</f>
        <v>54.773333333333362</v>
      </c>
      <c r="R27" s="66">
        <f>(R14)*'Key Business Variables'!$C$18</f>
        <v>58.066666666666698</v>
      </c>
      <c r="S27" s="66">
        <f>(S14)*'Key Business Variables'!$C$18</f>
        <v>61.360000000000035</v>
      </c>
      <c r="T27" s="66">
        <f>(T14)*'Key Business Variables'!$C$18</f>
        <v>64.653333333333364</v>
      </c>
      <c r="U27" s="66">
        <f>(U14)*'Key Business Variables'!$C$18</f>
        <v>67.946666666666701</v>
      </c>
      <c r="V27" s="66">
        <f>(V14)*'Key Business Variables'!$C$18</f>
        <v>71.240000000000038</v>
      </c>
      <c r="W27" s="66">
        <f>(W14)*'Key Business Variables'!$C$18</f>
        <v>74.533333333333374</v>
      </c>
      <c r="X27" s="66">
        <f>(X14)*'Key Business Variables'!$C$18</f>
        <v>77.826666666666711</v>
      </c>
      <c r="Y27" s="66">
        <f>(Y14)*'Key Business Variables'!$C$18</f>
        <v>81.120000000000047</v>
      </c>
      <c r="Z27" s="66">
        <f>(Z14)*'Key Business Variables'!$C$18</f>
        <v>84.413333333333384</v>
      </c>
      <c r="AA27" s="66">
        <f>(AA14)*'Key Business Variables'!$C$18</f>
        <v>87.70666666666672</v>
      </c>
      <c r="AB27" s="66">
        <f>(AB14)*'Key Business Variables'!$C$18</f>
        <v>91.000000000000057</v>
      </c>
      <c r="AC27" s="66">
        <f>(AC14)*'Key Business Variables'!$C$18</f>
        <v>94.293333333333393</v>
      </c>
      <c r="AD27" s="66">
        <f>(AD14)*'Key Business Variables'!$C$18</f>
        <v>97.58666666666673</v>
      </c>
      <c r="AE27" s="66">
        <f>(AE14)*'Key Business Variables'!$C$18</f>
        <v>100.88000000000007</v>
      </c>
      <c r="AF27" s="66">
        <f>(AF14)*'Key Business Variables'!$C$18</f>
        <v>104.1733333333334</v>
      </c>
      <c r="AG27" s="66">
        <f>(AG14)*'Key Business Variables'!$C$18</f>
        <v>107.46666666666674</v>
      </c>
      <c r="AH27" s="66">
        <f>(AH14)*'Key Business Variables'!$C$18</f>
        <v>110.76000000000008</v>
      </c>
      <c r="AI27" s="66">
        <f>(AI14)*'Key Business Variables'!$C$18</f>
        <v>114.05333333333341</v>
      </c>
      <c r="AJ27" s="66">
        <f>(AJ14)*'Key Business Variables'!$C$18</f>
        <v>117.34666666666675</v>
      </c>
      <c r="AK27" s="66">
        <f>(AK14)*'Key Business Variables'!$C$18</f>
        <v>120.64000000000009</v>
      </c>
      <c r="AL27" s="66">
        <f>(AL14)*'Key Business Variables'!$C$18</f>
        <v>123.93333333333342</v>
      </c>
      <c r="AM27" s="66">
        <f>(AM14)*'Key Business Variables'!$C$18</f>
        <v>127.22666666666676</v>
      </c>
      <c r="AN27" s="66">
        <f>(AN14)*'Key Business Variables'!$C$18</f>
        <v>130.52000000000007</v>
      </c>
      <c r="AO27" s="66">
        <f>(AO14)*'Key Business Variables'!$C$18</f>
        <v>133.81333333333339</v>
      </c>
      <c r="AP27" s="66">
        <f>(AP14)*'Key Business Variables'!$C$18</f>
        <v>137.10666666666671</v>
      </c>
      <c r="AQ27" s="66">
        <f>(AQ14)*'Key Business Variables'!$C$18</f>
        <v>140.40000000000003</v>
      </c>
      <c r="AR27" s="66">
        <f>(AR14)*'Key Business Variables'!$C$18</f>
        <v>143.69333333333336</v>
      </c>
      <c r="AS27" s="66">
        <f>(AS14)*'Key Business Variables'!$C$18</f>
        <v>146.98666666666668</v>
      </c>
      <c r="AT27" s="66">
        <f>(AT14)*'Key Business Variables'!$C$18</f>
        <v>150.28</v>
      </c>
      <c r="AU27" s="66">
        <f>(AU14)*'Key Business Variables'!$C$18</f>
        <v>153.57333333333332</v>
      </c>
      <c r="AV27" s="66">
        <f>(AV14)*'Key Business Variables'!$C$18</f>
        <v>156.86666666666665</v>
      </c>
      <c r="AW27" s="66">
        <f>(AW14)*'Key Business Variables'!$C$18</f>
        <v>160.15999999999997</v>
      </c>
      <c r="AX27" s="67"/>
    </row>
    <row r="28" spans="1:50" hidden="1" x14ac:dyDescent="0.6">
      <c r="A28" s="61" t="s">
        <v>194</v>
      </c>
      <c r="B28" s="66">
        <f>('Fine Tuning'!B4*'Key Business Variables'!$C$14)</f>
        <v>10575</v>
      </c>
      <c r="C28" s="66">
        <f>('Fine Tuning'!C4*'Key Business Variables'!$C$14)</f>
        <v>10575</v>
      </c>
      <c r="D28" s="66">
        <f>('Fine Tuning'!D4*'Key Business Variables'!$C$14)</f>
        <v>10575</v>
      </c>
      <c r="E28" s="66">
        <f>('Fine Tuning'!E4*'Key Business Variables'!$C$14)</f>
        <v>10575</v>
      </c>
      <c r="F28" s="66">
        <f>('Fine Tuning'!F4*'Key Business Variables'!$C$14)</f>
        <v>10575</v>
      </c>
      <c r="G28" s="66">
        <f>('Fine Tuning'!G4*'Key Business Variables'!$C$14)</f>
        <v>10575</v>
      </c>
      <c r="H28" s="66">
        <f>('Fine Tuning'!H4*'Key Business Variables'!$C$14)</f>
        <v>10575</v>
      </c>
      <c r="I28" s="66">
        <f>('Fine Tuning'!I4*'Key Business Variables'!$C$14)</f>
        <v>10575</v>
      </c>
      <c r="J28" s="66">
        <f>('Fine Tuning'!J4*'Key Business Variables'!$C$14)</f>
        <v>10575</v>
      </c>
      <c r="K28" s="66">
        <f>('Fine Tuning'!K4*'Key Business Variables'!$C$14)</f>
        <v>10575</v>
      </c>
      <c r="L28" s="66">
        <f>('Fine Tuning'!L4*'Key Business Variables'!$C$14)</f>
        <v>10575</v>
      </c>
      <c r="M28" s="66">
        <f>('Fine Tuning'!M4*'Key Business Variables'!$C$14)</f>
        <v>10575</v>
      </c>
      <c r="N28" s="66">
        <f>('Fine Tuning'!N4*'Key Business Variables'!$C$14)</f>
        <v>10575</v>
      </c>
      <c r="O28" s="66">
        <f>('Fine Tuning'!O4*'Key Business Variables'!$C$14)</f>
        <v>10575</v>
      </c>
      <c r="P28" s="66">
        <f>('Fine Tuning'!P4*'Key Business Variables'!$C$14)</f>
        <v>10575</v>
      </c>
      <c r="Q28" s="66">
        <f>('Fine Tuning'!Q4*'Key Business Variables'!$C$14)</f>
        <v>10575</v>
      </c>
      <c r="R28" s="66">
        <f>('Fine Tuning'!R4*'Key Business Variables'!$C$14)</f>
        <v>10575</v>
      </c>
      <c r="S28" s="66">
        <f>('Fine Tuning'!S4*'Key Business Variables'!$C$14)</f>
        <v>10575</v>
      </c>
      <c r="T28" s="66">
        <f>('Fine Tuning'!T4*'Key Business Variables'!$C$14)</f>
        <v>10575</v>
      </c>
      <c r="U28" s="66">
        <f>('Fine Tuning'!U4*'Key Business Variables'!$C$14)</f>
        <v>10575</v>
      </c>
      <c r="V28" s="66">
        <f>('Fine Tuning'!V4*'Key Business Variables'!$C$14)</f>
        <v>10575</v>
      </c>
      <c r="W28" s="66">
        <f>('Fine Tuning'!W4*'Key Business Variables'!$C$14)</f>
        <v>10575</v>
      </c>
      <c r="X28" s="66">
        <f>('Fine Tuning'!X4*'Key Business Variables'!$C$14)</f>
        <v>10575</v>
      </c>
      <c r="Y28" s="66">
        <f>('Fine Tuning'!Y4*'Key Business Variables'!$C$14)</f>
        <v>10575</v>
      </c>
      <c r="Z28" s="66">
        <f>('Fine Tuning'!Z4*'Key Business Variables'!$C$14)</f>
        <v>10575</v>
      </c>
      <c r="AA28" s="66">
        <f>('Fine Tuning'!AA4*'Key Business Variables'!$C$14)</f>
        <v>10575</v>
      </c>
      <c r="AB28" s="66">
        <f>('Fine Tuning'!AB4*'Key Business Variables'!$C$14)</f>
        <v>10575</v>
      </c>
      <c r="AC28" s="66">
        <f>('Fine Tuning'!AC4*'Key Business Variables'!$C$14)</f>
        <v>10575</v>
      </c>
      <c r="AD28" s="66">
        <f>('Fine Tuning'!AD4*'Key Business Variables'!$C$14)</f>
        <v>10575</v>
      </c>
      <c r="AE28" s="66">
        <f>('Fine Tuning'!AE4*'Key Business Variables'!$C$14)</f>
        <v>10575</v>
      </c>
      <c r="AF28" s="66">
        <f>('Fine Tuning'!AF4*'Key Business Variables'!$C$14)</f>
        <v>10575</v>
      </c>
      <c r="AG28" s="66">
        <f>('Fine Tuning'!AG4*'Key Business Variables'!$C$14)</f>
        <v>10575</v>
      </c>
      <c r="AH28" s="66">
        <f>('Fine Tuning'!AH4*'Key Business Variables'!$C$14)</f>
        <v>10575</v>
      </c>
      <c r="AI28" s="66">
        <f>('Fine Tuning'!AI4*'Key Business Variables'!$C$14)</f>
        <v>10575</v>
      </c>
      <c r="AJ28" s="66">
        <f>('Fine Tuning'!AJ4*'Key Business Variables'!$C$14)</f>
        <v>10575</v>
      </c>
      <c r="AK28" s="66">
        <f>('Fine Tuning'!AK4*'Key Business Variables'!$C$14)</f>
        <v>10575</v>
      </c>
      <c r="AL28" s="66">
        <f>('Fine Tuning'!AL4*'Key Business Variables'!$C$14)</f>
        <v>10575</v>
      </c>
      <c r="AM28" s="66">
        <f>('Fine Tuning'!AM4*'Key Business Variables'!$C$14)</f>
        <v>10575</v>
      </c>
      <c r="AN28" s="66">
        <f>('Fine Tuning'!AN4*'Key Business Variables'!$C$14)</f>
        <v>10575</v>
      </c>
      <c r="AO28" s="66">
        <f>('Fine Tuning'!AO4*'Key Business Variables'!$C$14)</f>
        <v>10575</v>
      </c>
      <c r="AP28" s="66">
        <f>('Fine Tuning'!AP4*'Key Business Variables'!$C$14)</f>
        <v>10575</v>
      </c>
      <c r="AQ28" s="66">
        <f>('Fine Tuning'!AQ4*'Key Business Variables'!$C$14)</f>
        <v>10575</v>
      </c>
      <c r="AR28" s="66">
        <f>('Fine Tuning'!AR4*'Key Business Variables'!$C$14)</f>
        <v>10575</v>
      </c>
      <c r="AS28" s="66">
        <f>('Fine Tuning'!AS4*'Key Business Variables'!$C$14)</f>
        <v>10575</v>
      </c>
      <c r="AT28" s="66">
        <f>('Fine Tuning'!AT4*'Key Business Variables'!$C$14)</f>
        <v>10575</v>
      </c>
      <c r="AU28" s="66">
        <f>('Fine Tuning'!AU4*'Key Business Variables'!$C$14)</f>
        <v>10575</v>
      </c>
      <c r="AV28" s="66">
        <f>('Fine Tuning'!AV4*'Key Business Variables'!$C$14)</f>
        <v>10575</v>
      </c>
      <c r="AW28" s="66">
        <f>('Fine Tuning'!AW4*'Key Business Variables'!$C$14)</f>
        <v>10575</v>
      </c>
      <c r="AX28" s="67"/>
    </row>
    <row r="29" spans="1:50" hidden="1" x14ac:dyDescent="0.6">
      <c r="A29" s="61" t="s">
        <v>193</v>
      </c>
      <c r="B29" s="66">
        <f>('Fine Tuning'!B6*'Key Business Variables'!$C$15)</f>
        <v>0</v>
      </c>
      <c r="C29" s="66">
        <f>('Fine Tuning'!C6*'Key Business Variables'!$C$15)</f>
        <v>0</v>
      </c>
      <c r="D29" s="66">
        <f>('Fine Tuning'!D6*'Key Business Variables'!$C$15)</f>
        <v>0</v>
      </c>
      <c r="E29" s="66">
        <f>('Fine Tuning'!E6*'Key Business Variables'!$C$15)</f>
        <v>0</v>
      </c>
      <c r="F29" s="66">
        <f>('Fine Tuning'!F6*'Key Business Variables'!$C$15)</f>
        <v>0</v>
      </c>
      <c r="G29" s="66">
        <f>('Fine Tuning'!G6*'Key Business Variables'!$C$15)</f>
        <v>0</v>
      </c>
      <c r="H29" s="66">
        <f>('Fine Tuning'!H6*'Key Business Variables'!$C$15)</f>
        <v>0</v>
      </c>
      <c r="I29" s="66">
        <f>('Fine Tuning'!I6*'Key Business Variables'!$C$15)</f>
        <v>0</v>
      </c>
      <c r="J29" s="66">
        <f>('Fine Tuning'!J6*'Key Business Variables'!$C$15)</f>
        <v>0</v>
      </c>
      <c r="K29" s="66">
        <f>('Fine Tuning'!K6*'Key Business Variables'!$C$15)</f>
        <v>0</v>
      </c>
      <c r="L29" s="66">
        <f>('Fine Tuning'!L6*'Key Business Variables'!$C$15)</f>
        <v>0</v>
      </c>
      <c r="M29" s="66">
        <f>('Fine Tuning'!M6*'Key Business Variables'!$C$15)</f>
        <v>0</v>
      </c>
      <c r="N29" s="66">
        <f>('Fine Tuning'!N6*'Key Business Variables'!$C$15)</f>
        <v>0</v>
      </c>
      <c r="O29" s="66">
        <f>('Fine Tuning'!O6*'Key Business Variables'!$C$15)</f>
        <v>0</v>
      </c>
      <c r="P29" s="66">
        <f>('Fine Tuning'!P6*'Key Business Variables'!$C$15)</f>
        <v>0</v>
      </c>
      <c r="Q29" s="66">
        <f>('Fine Tuning'!Q6*'Key Business Variables'!$C$15)</f>
        <v>0</v>
      </c>
      <c r="R29" s="66">
        <f>('Fine Tuning'!R6*'Key Business Variables'!$C$15)</f>
        <v>0</v>
      </c>
      <c r="S29" s="66">
        <f>('Fine Tuning'!S6*'Key Business Variables'!$C$15)</f>
        <v>0</v>
      </c>
      <c r="T29" s="66">
        <f>('Fine Tuning'!T6*'Key Business Variables'!$C$15)</f>
        <v>0</v>
      </c>
      <c r="U29" s="66">
        <f>('Fine Tuning'!U6*'Key Business Variables'!$C$15)</f>
        <v>0</v>
      </c>
      <c r="V29" s="66">
        <f>('Fine Tuning'!V6*'Key Business Variables'!$C$15)</f>
        <v>0</v>
      </c>
      <c r="W29" s="66">
        <f>('Fine Tuning'!W6*'Key Business Variables'!$C$15)</f>
        <v>0</v>
      </c>
      <c r="X29" s="66">
        <f>('Fine Tuning'!X6*'Key Business Variables'!$C$15)</f>
        <v>0</v>
      </c>
      <c r="Y29" s="66">
        <f>('Fine Tuning'!Y6*'Key Business Variables'!$C$15)</f>
        <v>0</v>
      </c>
      <c r="Z29" s="66">
        <f>('Fine Tuning'!Z6*'Key Business Variables'!$C$15)</f>
        <v>0</v>
      </c>
      <c r="AA29" s="66">
        <f>('Fine Tuning'!AA6*'Key Business Variables'!$C$15)</f>
        <v>0</v>
      </c>
      <c r="AB29" s="66">
        <f>('Fine Tuning'!AB6*'Key Business Variables'!$C$15)</f>
        <v>0</v>
      </c>
      <c r="AC29" s="66">
        <f>('Fine Tuning'!AC6*'Key Business Variables'!$C$15)</f>
        <v>0</v>
      </c>
      <c r="AD29" s="66">
        <f>('Fine Tuning'!AD6*'Key Business Variables'!$C$15)</f>
        <v>0</v>
      </c>
      <c r="AE29" s="66">
        <f>('Fine Tuning'!AE6*'Key Business Variables'!$C$15)</f>
        <v>0</v>
      </c>
      <c r="AF29" s="66">
        <f>('Fine Tuning'!AF6*'Key Business Variables'!$C$15)</f>
        <v>0</v>
      </c>
      <c r="AG29" s="66">
        <f>('Fine Tuning'!AG6*'Key Business Variables'!$C$15)</f>
        <v>0</v>
      </c>
      <c r="AH29" s="66">
        <f>('Fine Tuning'!AH6*'Key Business Variables'!$C$15)</f>
        <v>0</v>
      </c>
      <c r="AI29" s="66">
        <f>('Fine Tuning'!AI6*'Key Business Variables'!$C$15)</f>
        <v>0</v>
      </c>
      <c r="AJ29" s="66">
        <f>('Fine Tuning'!AJ6*'Key Business Variables'!$C$15)</f>
        <v>0</v>
      </c>
      <c r="AK29" s="66">
        <f>('Fine Tuning'!AK6*'Key Business Variables'!$C$15)</f>
        <v>0</v>
      </c>
      <c r="AL29" s="66">
        <f>('Fine Tuning'!AL6*'Key Business Variables'!$C$15)</f>
        <v>0</v>
      </c>
      <c r="AM29" s="66">
        <f>('Fine Tuning'!AM6*'Key Business Variables'!$C$15)</f>
        <v>0</v>
      </c>
      <c r="AN29" s="66">
        <f>('Fine Tuning'!AN6*'Key Business Variables'!$C$15)</f>
        <v>0</v>
      </c>
      <c r="AO29" s="66">
        <f>('Fine Tuning'!AO6*'Key Business Variables'!$C$15)</f>
        <v>0</v>
      </c>
      <c r="AP29" s="66">
        <f>('Fine Tuning'!AP6*'Key Business Variables'!$C$15)</f>
        <v>0</v>
      </c>
      <c r="AQ29" s="66">
        <f>('Fine Tuning'!AQ6*'Key Business Variables'!$C$15)</f>
        <v>0</v>
      </c>
      <c r="AR29" s="66">
        <f>('Fine Tuning'!AR6*'Key Business Variables'!$C$15)</f>
        <v>0</v>
      </c>
      <c r="AS29" s="66">
        <f>('Fine Tuning'!AS6*'Key Business Variables'!$C$15)</f>
        <v>0</v>
      </c>
      <c r="AT29" s="66">
        <f>('Fine Tuning'!AT6*'Key Business Variables'!$C$15)</f>
        <v>0</v>
      </c>
      <c r="AU29" s="66">
        <f>('Fine Tuning'!AU6*'Key Business Variables'!$C$15)</f>
        <v>0</v>
      </c>
      <c r="AV29" s="66">
        <f>('Fine Tuning'!AV6*'Key Business Variables'!$C$15)</f>
        <v>0</v>
      </c>
      <c r="AW29" s="66">
        <f>('Fine Tuning'!AW6*'Key Business Variables'!$C$15)</f>
        <v>0</v>
      </c>
      <c r="AX29" s="67">
        <f t="shared" ref="AX29:AX32" si="0">SUM(B29:AW29)</f>
        <v>0</v>
      </c>
    </row>
    <row r="30" spans="1:50" s="68" customFormat="1" hidden="1" x14ac:dyDescent="0.6">
      <c r="A30" s="61" t="s">
        <v>22</v>
      </c>
      <c r="B30" s="66">
        <f>B19*'Key Business Variables'!$C$19</f>
        <v>0</v>
      </c>
      <c r="C30" s="66">
        <f>C19*'Key Business Variables'!$C$19</f>
        <v>0</v>
      </c>
      <c r="D30" s="66">
        <f>D19*'Key Business Variables'!$C$19</f>
        <v>0</v>
      </c>
      <c r="E30" s="66">
        <f>E19*'Key Business Variables'!$C$19</f>
        <v>0</v>
      </c>
      <c r="F30" s="66">
        <f>F19*'Key Business Variables'!$C$19</f>
        <v>0</v>
      </c>
      <c r="G30" s="66">
        <f>G19*'Key Business Variables'!$C$19</f>
        <v>0</v>
      </c>
      <c r="H30" s="66">
        <f>H19*'Key Business Variables'!$C$19</f>
        <v>0</v>
      </c>
      <c r="I30" s="66">
        <f>I19*'Key Business Variables'!$C$19</f>
        <v>0</v>
      </c>
      <c r="J30" s="66">
        <f>J19*'Key Business Variables'!$C$19</f>
        <v>0</v>
      </c>
      <c r="K30" s="66">
        <f>K19*'Key Business Variables'!$C$19</f>
        <v>0</v>
      </c>
      <c r="L30" s="66">
        <f>L19*'Key Business Variables'!$C$19</f>
        <v>0</v>
      </c>
      <c r="M30" s="66">
        <f>M19*'Key Business Variables'!$C$19</f>
        <v>0</v>
      </c>
      <c r="N30" s="66">
        <f>N19*'Key Business Variables'!$C$19</f>
        <v>0</v>
      </c>
      <c r="O30" s="66">
        <f>O19*'Key Business Variables'!$C$19</f>
        <v>0</v>
      </c>
      <c r="P30" s="66">
        <f>P19*'Key Business Variables'!$C$19</f>
        <v>0</v>
      </c>
      <c r="Q30" s="66">
        <f>Q19*'Key Business Variables'!$C$19</f>
        <v>0</v>
      </c>
      <c r="R30" s="66">
        <f>R19*'Key Business Variables'!$C$19</f>
        <v>0</v>
      </c>
      <c r="S30" s="66">
        <f>S19*'Key Business Variables'!$C$19</f>
        <v>0</v>
      </c>
      <c r="T30" s="66">
        <f>T19*'Key Business Variables'!$C$19</f>
        <v>0</v>
      </c>
      <c r="U30" s="66">
        <f>U19*'Key Business Variables'!$C$19</f>
        <v>0</v>
      </c>
      <c r="V30" s="66">
        <f>V19*'Key Business Variables'!$C$19</f>
        <v>0</v>
      </c>
      <c r="W30" s="66">
        <f>W19*'Key Business Variables'!$C$19</f>
        <v>0</v>
      </c>
      <c r="X30" s="66">
        <f>X19*'Key Business Variables'!$C$19</f>
        <v>0</v>
      </c>
      <c r="Y30" s="66">
        <f>Y19*'Key Business Variables'!$C$19</f>
        <v>0</v>
      </c>
      <c r="Z30" s="66">
        <f>Z19*'Key Business Variables'!$C$19</f>
        <v>0</v>
      </c>
      <c r="AA30" s="66">
        <f>AA19*'Key Business Variables'!$C$19</f>
        <v>0</v>
      </c>
      <c r="AB30" s="66">
        <f>AB19*'Key Business Variables'!$C$19</f>
        <v>0</v>
      </c>
      <c r="AC30" s="66">
        <f>AC19*'Key Business Variables'!$C$19</f>
        <v>0</v>
      </c>
      <c r="AD30" s="66">
        <f>AD19*'Key Business Variables'!$C$19</f>
        <v>0</v>
      </c>
      <c r="AE30" s="66">
        <f>AE19*'Key Business Variables'!$C$19</f>
        <v>0</v>
      </c>
      <c r="AF30" s="66">
        <f>AF19*'Key Business Variables'!$C$19</f>
        <v>0</v>
      </c>
      <c r="AG30" s="66">
        <f>AG19*'Key Business Variables'!$C$19</f>
        <v>0</v>
      </c>
      <c r="AH30" s="66">
        <f>AH19*'Key Business Variables'!$C$19</f>
        <v>0</v>
      </c>
      <c r="AI30" s="66">
        <f>AI19*'Key Business Variables'!$C$19</f>
        <v>0</v>
      </c>
      <c r="AJ30" s="66">
        <f>AJ19*'Key Business Variables'!$C$19</f>
        <v>0</v>
      </c>
      <c r="AK30" s="66">
        <f>AK19*'Key Business Variables'!$C$19</f>
        <v>0</v>
      </c>
      <c r="AL30" s="66">
        <f>AL19*'Key Business Variables'!$C$19</f>
        <v>0</v>
      </c>
      <c r="AM30" s="66">
        <f>AM19*'Key Business Variables'!$C$19</f>
        <v>0</v>
      </c>
      <c r="AN30" s="66">
        <f>AN19*'Key Business Variables'!$C$19</f>
        <v>0</v>
      </c>
      <c r="AO30" s="66">
        <f>AO19*'Key Business Variables'!$C$19</f>
        <v>0</v>
      </c>
      <c r="AP30" s="66">
        <f>AP19*'Key Business Variables'!$C$19</f>
        <v>0</v>
      </c>
      <c r="AQ30" s="66">
        <f>AQ19*'Key Business Variables'!$C$19</f>
        <v>0</v>
      </c>
      <c r="AR30" s="66">
        <f>AR19*'Key Business Variables'!$C$19</f>
        <v>0</v>
      </c>
      <c r="AS30" s="66">
        <f>AS19*'Key Business Variables'!$C$19</f>
        <v>0</v>
      </c>
      <c r="AT30" s="66">
        <f>AT19*'Key Business Variables'!$C$19</f>
        <v>0</v>
      </c>
      <c r="AU30" s="66">
        <f>AU19*'Key Business Variables'!$C$19</f>
        <v>0</v>
      </c>
      <c r="AV30" s="66">
        <f>AV19*'Key Business Variables'!$C$19</f>
        <v>0</v>
      </c>
      <c r="AW30" s="66">
        <f>AW19*'Key Business Variables'!$C$19</f>
        <v>0</v>
      </c>
      <c r="AX30" s="67">
        <f t="shared" si="0"/>
        <v>0</v>
      </c>
    </row>
    <row r="31" spans="1:50" s="68" customFormat="1" hidden="1" x14ac:dyDescent="0.6">
      <c r="A31" s="61" t="s">
        <v>123</v>
      </c>
      <c r="B31" s="66">
        <f>B20*'Key Business Variables'!$C$20</f>
        <v>0</v>
      </c>
      <c r="C31" s="66">
        <f>C20*'Key Business Variables'!$C$20</f>
        <v>0</v>
      </c>
      <c r="D31" s="66">
        <f>D20*'Key Business Variables'!$C$20</f>
        <v>0</v>
      </c>
      <c r="E31" s="66">
        <f>E20*'Key Business Variables'!$C$20</f>
        <v>0</v>
      </c>
      <c r="F31" s="66">
        <f>F20*'Key Business Variables'!$C$20</f>
        <v>0</v>
      </c>
      <c r="G31" s="66">
        <f>G20*'Key Business Variables'!$C$20</f>
        <v>0</v>
      </c>
      <c r="H31" s="66">
        <f>H20*'Key Business Variables'!$C$20</f>
        <v>0</v>
      </c>
      <c r="I31" s="66">
        <f>I20*'Key Business Variables'!$C$20</f>
        <v>0</v>
      </c>
      <c r="J31" s="66">
        <f>J20*'Key Business Variables'!$C$20</f>
        <v>0</v>
      </c>
      <c r="K31" s="66">
        <f>K20*'Key Business Variables'!$C$20</f>
        <v>0</v>
      </c>
      <c r="L31" s="66">
        <f>L20*'Key Business Variables'!$C$20</f>
        <v>0</v>
      </c>
      <c r="M31" s="66">
        <f>M20*'Key Business Variables'!$C$20</f>
        <v>0</v>
      </c>
      <c r="N31" s="66">
        <f>N20*'Key Business Variables'!$C$20</f>
        <v>0</v>
      </c>
      <c r="O31" s="66">
        <f>O20*'Key Business Variables'!$C$20</f>
        <v>0</v>
      </c>
      <c r="P31" s="66">
        <f>P20*'Key Business Variables'!$C$20</f>
        <v>0</v>
      </c>
      <c r="Q31" s="66">
        <f>Q20*'Key Business Variables'!$C$20</f>
        <v>0</v>
      </c>
      <c r="R31" s="66">
        <f>R20*'Key Business Variables'!$C$20</f>
        <v>0</v>
      </c>
      <c r="S31" s="66">
        <f>S20*'Key Business Variables'!$C$20</f>
        <v>0</v>
      </c>
      <c r="T31" s="66">
        <f>T20*'Key Business Variables'!$C$20</f>
        <v>0</v>
      </c>
      <c r="U31" s="66">
        <f>U20*'Key Business Variables'!$C$20</f>
        <v>0</v>
      </c>
      <c r="V31" s="66">
        <f>V20*'Key Business Variables'!$C$20</f>
        <v>0</v>
      </c>
      <c r="W31" s="66">
        <f>W20*'Key Business Variables'!$C$20</f>
        <v>0</v>
      </c>
      <c r="X31" s="66">
        <f>X20*'Key Business Variables'!$C$20</f>
        <v>0</v>
      </c>
      <c r="Y31" s="66">
        <f>Y20*'Key Business Variables'!$C$20</f>
        <v>0</v>
      </c>
      <c r="Z31" s="66">
        <f>Z20*'Key Business Variables'!$C$20</f>
        <v>0</v>
      </c>
      <c r="AA31" s="66">
        <f>AA20*'Key Business Variables'!$C$20</f>
        <v>0</v>
      </c>
      <c r="AB31" s="66">
        <f>AB20*'Key Business Variables'!$C$20</f>
        <v>0</v>
      </c>
      <c r="AC31" s="66">
        <f>AC20*'Key Business Variables'!$C$20</f>
        <v>0</v>
      </c>
      <c r="AD31" s="66">
        <f>AD20*'Key Business Variables'!$C$20</f>
        <v>0</v>
      </c>
      <c r="AE31" s="66">
        <f>AE20*'Key Business Variables'!$C$20</f>
        <v>0</v>
      </c>
      <c r="AF31" s="66">
        <f>AF20*'Key Business Variables'!$C$20</f>
        <v>0</v>
      </c>
      <c r="AG31" s="66">
        <f>AG20*'Key Business Variables'!$C$20</f>
        <v>0</v>
      </c>
      <c r="AH31" s="66">
        <f>AH20*'Key Business Variables'!$C$20</f>
        <v>0</v>
      </c>
      <c r="AI31" s="66">
        <f>AI20*'Key Business Variables'!$C$20</f>
        <v>0</v>
      </c>
      <c r="AJ31" s="66">
        <f>AJ20*'Key Business Variables'!$C$20</f>
        <v>0</v>
      </c>
      <c r="AK31" s="66">
        <f>AK20*'Key Business Variables'!$C$20</f>
        <v>0</v>
      </c>
      <c r="AL31" s="66">
        <f>AL20*'Key Business Variables'!$C$20</f>
        <v>0</v>
      </c>
      <c r="AM31" s="66">
        <f>AM20*'Key Business Variables'!$C$20</f>
        <v>0</v>
      </c>
      <c r="AN31" s="66">
        <f>AN20*'Key Business Variables'!$C$20</f>
        <v>0</v>
      </c>
      <c r="AO31" s="66">
        <f>AO20*'Key Business Variables'!$C$20</f>
        <v>0</v>
      </c>
      <c r="AP31" s="66">
        <f>AP20*'Key Business Variables'!$C$20</f>
        <v>0</v>
      </c>
      <c r="AQ31" s="66">
        <f>AQ20*'Key Business Variables'!$C$20</f>
        <v>0</v>
      </c>
      <c r="AR31" s="66">
        <f>AR20*'Key Business Variables'!$C$20</f>
        <v>0</v>
      </c>
      <c r="AS31" s="66">
        <f>AS20*'Key Business Variables'!$C$20</f>
        <v>0</v>
      </c>
      <c r="AT31" s="66">
        <f>AT20*'Key Business Variables'!$C$20</f>
        <v>0</v>
      </c>
      <c r="AU31" s="66">
        <f>AU20*'Key Business Variables'!$C$20</f>
        <v>0</v>
      </c>
      <c r="AV31" s="66">
        <f>AV20*'Key Business Variables'!$C$20</f>
        <v>0</v>
      </c>
      <c r="AW31" s="66">
        <f>AW20*'Key Business Variables'!$C$20</f>
        <v>0</v>
      </c>
      <c r="AX31" s="67">
        <f t="shared" si="0"/>
        <v>0</v>
      </c>
    </row>
    <row r="32" spans="1:50" s="68" customFormat="1" hidden="1" x14ac:dyDescent="0.6">
      <c r="A32" s="61" t="s">
        <v>183</v>
      </c>
      <c r="B32" s="66">
        <f>B21*'Key Business Variables'!$C$21</f>
        <v>0</v>
      </c>
      <c r="C32" s="66">
        <f>C21*'Key Business Variables'!$C$21</f>
        <v>0</v>
      </c>
      <c r="D32" s="66">
        <f>D21*'Key Business Variables'!$C$21</f>
        <v>0</v>
      </c>
      <c r="E32" s="66">
        <f>E21*'Key Business Variables'!$C$21</f>
        <v>0</v>
      </c>
      <c r="F32" s="66">
        <f>F21*'Key Business Variables'!$C$21</f>
        <v>0</v>
      </c>
      <c r="G32" s="66">
        <f>G21*'Key Business Variables'!$C$21</f>
        <v>0</v>
      </c>
      <c r="H32" s="66">
        <f>H21*'Key Business Variables'!$C$21</f>
        <v>0</v>
      </c>
      <c r="I32" s="66">
        <f>I21*'Key Business Variables'!$C$21</f>
        <v>0</v>
      </c>
      <c r="J32" s="66">
        <f>J21*'Key Business Variables'!$C$21</f>
        <v>0</v>
      </c>
      <c r="K32" s="66">
        <f>K21*'Key Business Variables'!$C$21</f>
        <v>0</v>
      </c>
      <c r="L32" s="66">
        <f>L21*'Key Business Variables'!$C$21</f>
        <v>0</v>
      </c>
      <c r="M32" s="66">
        <f>M21*'Key Business Variables'!$C$21</f>
        <v>0</v>
      </c>
      <c r="N32" s="66">
        <f>N21*'Key Business Variables'!$C$21</f>
        <v>0</v>
      </c>
      <c r="O32" s="66">
        <f>O21*'Key Business Variables'!$C$21</f>
        <v>0</v>
      </c>
      <c r="P32" s="66">
        <f>P21*'Key Business Variables'!$C$21</f>
        <v>0</v>
      </c>
      <c r="Q32" s="66">
        <f>Q21*'Key Business Variables'!$C$21</f>
        <v>0</v>
      </c>
      <c r="R32" s="66">
        <f>R21*'Key Business Variables'!$C$21</f>
        <v>0</v>
      </c>
      <c r="S32" s="66">
        <f>S21*'Key Business Variables'!$C$21</f>
        <v>0</v>
      </c>
      <c r="T32" s="66">
        <f>T21*'Key Business Variables'!$C$21</f>
        <v>0</v>
      </c>
      <c r="U32" s="66">
        <f>U21*'Key Business Variables'!$C$21</f>
        <v>0</v>
      </c>
      <c r="V32" s="66">
        <f>V21*'Key Business Variables'!$C$21</f>
        <v>0</v>
      </c>
      <c r="W32" s="66">
        <f>W21*'Key Business Variables'!$C$21</f>
        <v>0</v>
      </c>
      <c r="X32" s="66">
        <f>X21*'Key Business Variables'!$C$21</f>
        <v>0</v>
      </c>
      <c r="Y32" s="66">
        <f>Y21*'Key Business Variables'!$C$21</f>
        <v>0</v>
      </c>
      <c r="Z32" s="66">
        <f>Z21*'Key Business Variables'!$C$21</f>
        <v>0</v>
      </c>
      <c r="AA32" s="66">
        <f>AA21*'Key Business Variables'!$C$21</f>
        <v>0</v>
      </c>
      <c r="AB32" s="66">
        <f>AB21*'Key Business Variables'!$C$21</f>
        <v>0</v>
      </c>
      <c r="AC32" s="66">
        <f>AC21*'Key Business Variables'!$C$21</f>
        <v>0</v>
      </c>
      <c r="AD32" s="66">
        <f>AD21*'Key Business Variables'!$C$21</f>
        <v>0</v>
      </c>
      <c r="AE32" s="66">
        <f>AE21*'Key Business Variables'!$C$21</f>
        <v>0</v>
      </c>
      <c r="AF32" s="66">
        <f>AF21*'Key Business Variables'!$C$21</f>
        <v>0</v>
      </c>
      <c r="AG32" s="66">
        <f>AG21*'Key Business Variables'!$C$21</f>
        <v>0</v>
      </c>
      <c r="AH32" s="66">
        <f>AH21*'Key Business Variables'!$C$21</f>
        <v>0</v>
      </c>
      <c r="AI32" s="66">
        <f>AI21*'Key Business Variables'!$C$21</f>
        <v>0</v>
      </c>
      <c r="AJ32" s="66">
        <f>AJ21*'Key Business Variables'!$C$21</f>
        <v>0</v>
      </c>
      <c r="AK32" s="66">
        <f>AK21*'Key Business Variables'!$C$21</f>
        <v>0</v>
      </c>
      <c r="AL32" s="66">
        <f>AL21*'Key Business Variables'!$C$21</f>
        <v>0</v>
      </c>
      <c r="AM32" s="66">
        <f>AM21*'Key Business Variables'!$C$21</f>
        <v>0</v>
      </c>
      <c r="AN32" s="66">
        <f>AN21*'Key Business Variables'!$C$21</f>
        <v>0</v>
      </c>
      <c r="AO32" s="66">
        <f>AO21*'Key Business Variables'!$C$21</f>
        <v>0</v>
      </c>
      <c r="AP32" s="66">
        <f>AP21*'Key Business Variables'!$C$21</f>
        <v>0</v>
      </c>
      <c r="AQ32" s="66">
        <f>AQ21*'Key Business Variables'!$C$21</f>
        <v>0</v>
      </c>
      <c r="AR32" s="66">
        <f>AR21*'Key Business Variables'!$C$21</f>
        <v>0</v>
      </c>
      <c r="AS32" s="66">
        <f>AS21*'Key Business Variables'!$C$21</f>
        <v>0</v>
      </c>
      <c r="AT32" s="66">
        <f>AT21*'Key Business Variables'!$C$21</f>
        <v>0</v>
      </c>
      <c r="AU32" s="66">
        <f>AU21*'Key Business Variables'!$C$21</f>
        <v>0</v>
      </c>
      <c r="AV32" s="66">
        <f>AV21*'Key Business Variables'!$C$21</f>
        <v>0</v>
      </c>
      <c r="AW32" s="66">
        <f>AW21*'Key Business Variables'!$C$21</f>
        <v>0</v>
      </c>
      <c r="AX32" s="67">
        <f t="shared" si="0"/>
        <v>0</v>
      </c>
    </row>
    <row r="33" spans="1:51" s="68" customFormat="1" hidden="1" x14ac:dyDescent="0.6">
      <c r="A33" s="61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7"/>
    </row>
    <row r="34" spans="1:51" hidden="1" x14ac:dyDescent="0.6">
      <c r="A34" s="80" t="s">
        <v>45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</row>
    <row r="35" spans="1:51" hidden="1" x14ac:dyDescent="0.6">
      <c r="A35" s="61" t="s">
        <v>96</v>
      </c>
      <c r="B35" s="66">
        <f>((B24+B26)*(1-'Key Business Variables'!$C$46))+((B25+B27)*(1-'Key Business Variables'!$C$47))</f>
        <v>583.69999999999993</v>
      </c>
      <c r="C35" s="66">
        <f>((C24+C26)*(1-'Key Business Variables'!$C$46))+((C25+C27)*(1-'Key Business Variables'!$C$47))</f>
        <v>1167.3999999999999</v>
      </c>
      <c r="D35" s="66">
        <f>((D24+D26)*(1-'Key Business Variables'!$C$46))+((D25+D27)*(1-'Key Business Variables'!$C$47))</f>
        <v>1751.1</v>
      </c>
      <c r="E35" s="66">
        <f>((E24+E26)*(1-'Key Business Variables'!$C$46))+((E25+E27)*(1-'Key Business Variables'!$C$47))</f>
        <v>2334.7999999999997</v>
      </c>
      <c r="F35" s="66">
        <f>((F24+F26)*(1-'Key Business Variables'!$C$46))+((F25+F27)*(1-'Key Business Variables'!$C$47))</f>
        <v>2918.5</v>
      </c>
      <c r="G35" s="66">
        <f>((G24+G26)*(1-'Key Business Variables'!$C$46))+((G25+G27)*(1-'Key Business Variables'!$C$47))</f>
        <v>3502.2</v>
      </c>
      <c r="H35" s="66">
        <f>((H24+H26)*(1-'Key Business Variables'!$C$46))+((H25+H27)*(1-'Key Business Variables'!$C$47))</f>
        <v>4085.8999999999996</v>
      </c>
      <c r="I35" s="66">
        <f>((I24+I26)*(1-'Key Business Variables'!$C$46))+((I25+I27)*(1-'Key Business Variables'!$C$47))</f>
        <v>4669.5999999999995</v>
      </c>
      <c r="J35" s="66">
        <f>((J24+J26)*(1-'Key Business Variables'!$C$46))+((J25+J27)*(1-'Key Business Variables'!$C$47))</f>
        <v>5253.2999999999993</v>
      </c>
      <c r="K35" s="66">
        <f>((K24+K26)*(1-'Key Business Variables'!$C$46))+((K25+K27)*(1-'Key Business Variables'!$C$47))</f>
        <v>5837</v>
      </c>
      <c r="L35" s="66">
        <f>((L24+L26)*(1-'Key Business Variables'!$C$46))+((L25+L27)*(1-'Key Business Variables'!$C$47))</f>
        <v>6420.7</v>
      </c>
      <c r="M35" s="66">
        <f>((M24+M26)*(1-'Key Business Variables'!$C$46))+((M25+M27)*(1-'Key Business Variables'!$C$47))</f>
        <v>7004.4</v>
      </c>
      <c r="N35" s="66">
        <f>((N24+N26)*(1-'Key Business Variables'!$C$46))+((N25+N27)*(1-'Key Business Variables'!$C$47))</f>
        <v>7558.9149999999981</v>
      </c>
      <c r="O35" s="66">
        <f>((O24+O26)*(1-'Key Business Variables'!$C$46))+((O25+O27)*(1-'Key Business Variables'!$C$47))</f>
        <v>8113.4299999999994</v>
      </c>
      <c r="P35" s="66">
        <f>((P24+P26)*(1-'Key Business Variables'!$C$46))+((P25+P27)*(1-'Key Business Variables'!$C$47))</f>
        <v>8667.9449999999997</v>
      </c>
      <c r="Q35" s="66">
        <f>((Q24+Q26)*(1-'Key Business Variables'!$C$46))+((Q25+Q27)*(1-'Key Business Variables'!$C$47))</f>
        <v>9222.4599999999973</v>
      </c>
      <c r="R35" s="66">
        <f>((R24+R26)*(1-'Key Business Variables'!$C$46))+((R25+R27)*(1-'Key Business Variables'!$C$47))</f>
        <v>9776.9749999999985</v>
      </c>
      <c r="S35" s="66">
        <f>((S24+S26)*(1-'Key Business Variables'!$C$46))+((S25+S27)*(1-'Key Business Variables'!$C$47))</f>
        <v>10331.49</v>
      </c>
      <c r="T35" s="66">
        <f>((T24+T26)*(1-'Key Business Variables'!$C$46))+((T25+T27)*(1-'Key Business Variables'!$C$47))</f>
        <v>10886.004999999999</v>
      </c>
      <c r="U35" s="66">
        <f>((U24+U26)*(1-'Key Business Variables'!$C$46))+((U25+U27)*(1-'Key Business Variables'!$C$47))</f>
        <v>11440.52</v>
      </c>
      <c r="V35" s="66">
        <f>((V24+V26)*(1-'Key Business Variables'!$C$46))+((V25+V27)*(1-'Key Business Variables'!$C$47))</f>
        <v>11995.035</v>
      </c>
      <c r="W35" s="66">
        <f>((W24+W26)*(1-'Key Business Variables'!$C$46))+((W25+W27)*(1-'Key Business Variables'!$C$47))</f>
        <v>12549.550000000001</v>
      </c>
      <c r="X35" s="66">
        <f>((X24+X26)*(1-'Key Business Variables'!$C$46))+((X25+X27)*(1-'Key Business Variables'!$C$47))</f>
        <v>13104.065000000004</v>
      </c>
      <c r="Y35" s="66">
        <f>((Y24+Y26)*(1-'Key Business Variables'!$C$46))+((Y25+Y27)*(1-'Key Business Variables'!$C$47))</f>
        <v>13658.580000000002</v>
      </c>
      <c r="Z35" s="66">
        <f>((Z24+Z26)*(1-'Key Business Variables'!$C$46))+((Z25+Z27)*(1-'Key Business Variables'!$C$47))</f>
        <v>14213.095000000003</v>
      </c>
      <c r="AA35" s="66">
        <f>((AA24+AA26)*(1-'Key Business Variables'!$C$46))+((AA25+AA27)*(1-'Key Business Variables'!$C$47))</f>
        <v>14767.610000000006</v>
      </c>
      <c r="AB35" s="66">
        <f>((AB24+AB26)*(1-'Key Business Variables'!$C$46))+((AB25+AB27)*(1-'Key Business Variables'!$C$47))</f>
        <v>15322.125000000004</v>
      </c>
      <c r="AC35" s="66">
        <f>((AC24+AC26)*(1-'Key Business Variables'!$C$46))+((AC25+AC27)*(1-'Key Business Variables'!$C$47))</f>
        <v>15876.640000000005</v>
      </c>
      <c r="AD35" s="66">
        <f>((AD24+AD26)*(1-'Key Business Variables'!$C$46))+((AD25+AD27)*(1-'Key Business Variables'!$C$47))</f>
        <v>16431.155000000006</v>
      </c>
      <c r="AE35" s="66">
        <f>((AE24+AE26)*(1-'Key Business Variables'!$C$46))+((AE25+AE27)*(1-'Key Business Variables'!$C$47))</f>
        <v>16985.670000000006</v>
      </c>
      <c r="AF35" s="66">
        <f>((AF24+AF26)*(1-'Key Business Variables'!$C$46))+((AF25+AF27)*(1-'Key Business Variables'!$C$47))</f>
        <v>17540.185000000009</v>
      </c>
      <c r="AG35" s="66">
        <f>((AG24+AG26)*(1-'Key Business Variables'!$C$46))+((AG25+AG27)*(1-'Key Business Variables'!$C$47))</f>
        <v>18094.700000000008</v>
      </c>
      <c r="AH35" s="66">
        <f>((AH24+AH26)*(1-'Key Business Variables'!$C$46))+((AH25+AH27)*(1-'Key Business Variables'!$C$47))</f>
        <v>18649.215000000007</v>
      </c>
      <c r="AI35" s="66">
        <f>((AI24+AI26)*(1-'Key Business Variables'!$C$46))+((AI25+AI27)*(1-'Key Business Variables'!$C$47))</f>
        <v>19203.730000000007</v>
      </c>
      <c r="AJ35" s="66">
        <f>((AJ24+AJ26)*(1-'Key Business Variables'!$C$46))+((AJ25+AJ27)*(1-'Key Business Variables'!$C$47))</f>
        <v>19758.24500000001</v>
      </c>
      <c r="AK35" s="66">
        <f>((AK24+AK26)*(1-'Key Business Variables'!$C$46))+((AK25+AK27)*(1-'Key Business Variables'!$C$47))</f>
        <v>20312.760000000009</v>
      </c>
      <c r="AL35" s="66">
        <f>((AL24+AL26)*(1-'Key Business Variables'!$C$46))+((AL25+AL27)*(1-'Key Business Variables'!$C$47))</f>
        <v>20867.275000000009</v>
      </c>
      <c r="AM35" s="66">
        <f>((AM24+AM26)*(1-'Key Business Variables'!$C$46))+((AM25+AM27)*(1-'Key Business Variables'!$C$47))</f>
        <v>21421.790000000008</v>
      </c>
      <c r="AN35" s="66">
        <f>((AN24+AN26)*(1-'Key Business Variables'!$C$46))+((AN25+AN27)*(1-'Key Business Variables'!$C$47))</f>
        <v>21976.305000000011</v>
      </c>
      <c r="AO35" s="66">
        <f>((AO24+AO26)*(1-'Key Business Variables'!$C$46))+((AO25+AO27)*(1-'Key Business Variables'!$C$47))</f>
        <v>22530.820000000011</v>
      </c>
      <c r="AP35" s="66">
        <f>((AP24+AP26)*(1-'Key Business Variables'!$C$46))+((AP25+AP27)*(1-'Key Business Variables'!$C$47))</f>
        <v>23085.335000000014</v>
      </c>
      <c r="AQ35" s="66">
        <f>((AQ24+AQ26)*(1-'Key Business Variables'!$C$46))+((AQ25+AQ27)*(1-'Key Business Variables'!$C$47))</f>
        <v>23639.850000000013</v>
      </c>
      <c r="AR35" s="66">
        <f>((AR24+AR26)*(1-'Key Business Variables'!$C$46))+((AR25+AR27)*(1-'Key Business Variables'!$C$47))</f>
        <v>24194.365000000013</v>
      </c>
      <c r="AS35" s="66">
        <f>((AS24+AS26)*(1-'Key Business Variables'!$C$46))+((AS25+AS27)*(1-'Key Business Variables'!$C$47))</f>
        <v>24748.880000000019</v>
      </c>
      <c r="AT35" s="66">
        <f>((AT24+AT26)*(1-'Key Business Variables'!$C$46))+((AT25+AT27)*(1-'Key Business Variables'!$C$47))</f>
        <v>25303.395000000015</v>
      </c>
      <c r="AU35" s="66">
        <f>((AU24+AU26)*(1-'Key Business Variables'!$C$46))+((AU25+AU27)*(1-'Key Business Variables'!$C$47))</f>
        <v>25857.910000000014</v>
      </c>
      <c r="AV35" s="66">
        <f>((AV24+AV26)*(1-'Key Business Variables'!$C$46))+((AV25+AV27)*(1-'Key Business Variables'!$C$47))</f>
        <v>26412.425000000021</v>
      </c>
      <c r="AW35" s="66">
        <f>((AW24+AW26)*(1-'Key Business Variables'!$C$46))+((AW25+AW27)*(1-'Key Business Variables'!$C$47))</f>
        <v>26966.940000000017</v>
      </c>
      <c r="AX35" s="67">
        <f t="shared" ref="AX35:AX37" si="1">SUM(B35:AW35)</f>
        <v>666993.99000000034</v>
      </c>
    </row>
    <row r="36" spans="1:51" hidden="1" x14ac:dyDescent="0.6">
      <c r="A36" s="61" t="s">
        <v>126</v>
      </c>
      <c r="B36" s="66">
        <f>B31*(1-'Key Business Variables'!$C$25)</f>
        <v>0</v>
      </c>
      <c r="C36" s="66">
        <f>C31*(1-'Key Business Variables'!$C$25)</f>
        <v>0</v>
      </c>
      <c r="D36" s="66">
        <f>D31*(1-'Key Business Variables'!$C$25)</f>
        <v>0</v>
      </c>
      <c r="E36" s="66">
        <f>E31*(1-'Key Business Variables'!$C$25)</f>
        <v>0</v>
      </c>
      <c r="F36" s="66">
        <f>F31*(1-'Key Business Variables'!$C$25)</f>
        <v>0</v>
      </c>
      <c r="G36" s="66">
        <f>G31*(1-'Key Business Variables'!$C$25)</f>
        <v>0</v>
      </c>
      <c r="H36" s="66">
        <f>H31*(1-'Key Business Variables'!$C$25)</f>
        <v>0</v>
      </c>
      <c r="I36" s="66">
        <f>I31*(1-'Key Business Variables'!$C$25)</f>
        <v>0</v>
      </c>
      <c r="J36" s="66">
        <f>J31*(1-'Key Business Variables'!$C$25)</f>
        <v>0</v>
      </c>
      <c r="K36" s="66">
        <f>K31*(1-'Key Business Variables'!$C$25)</f>
        <v>0</v>
      </c>
      <c r="L36" s="66">
        <f>L31*(1-'Key Business Variables'!$C$25)</f>
        <v>0</v>
      </c>
      <c r="M36" s="66">
        <f>M31*(1-'Key Business Variables'!$C$25)</f>
        <v>0</v>
      </c>
      <c r="N36" s="66">
        <f>N31*(1-'Key Business Variables'!$C$25)</f>
        <v>0</v>
      </c>
      <c r="O36" s="66">
        <f>O31*(1-'Key Business Variables'!$C$25)</f>
        <v>0</v>
      </c>
      <c r="P36" s="66">
        <f>P31*(1-'Key Business Variables'!$C$25)</f>
        <v>0</v>
      </c>
      <c r="Q36" s="66">
        <f>Q31*(1-'Key Business Variables'!$C$25)</f>
        <v>0</v>
      </c>
      <c r="R36" s="66">
        <f>R31*(1-'Key Business Variables'!$C$25)</f>
        <v>0</v>
      </c>
      <c r="S36" s="66">
        <f>S31*(1-'Key Business Variables'!$C$25)</f>
        <v>0</v>
      </c>
      <c r="T36" s="66">
        <f>T31*(1-'Key Business Variables'!$C$25)</f>
        <v>0</v>
      </c>
      <c r="U36" s="66">
        <f>U31*(1-'Key Business Variables'!$C$25)</f>
        <v>0</v>
      </c>
      <c r="V36" s="66">
        <f>V31*(1-'Key Business Variables'!$C$25)</f>
        <v>0</v>
      </c>
      <c r="W36" s="66">
        <f>W31*(1-'Key Business Variables'!$C$25)</f>
        <v>0</v>
      </c>
      <c r="X36" s="66">
        <f>X31*(1-'Key Business Variables'!$C$25)</f>
        <v>0</v>
      </c>
      <c r="Y36" s="66">
        <f>Y31*(1-'Key Business Variables'!$C$25)</f>
        <v>0</v>
      </c>
      <c r="Z36" s="66">
        <f>Z31*(1-'Key Business Variables'!$C$25)</f>
        <v>0</v>
      </c>
      <c r="AA36" s="66">
        <f>AA31*(1-'Key Business Variables'!$C$25)</f>
        <v>0</v>
      </c>
      <c r="AB36" s="66">
        <f>AB31*(1-'Key Business Variables'!$C$25)</f>
        <v>0</v>
      </c>
      <c r="AC36" s="66">
        <f>AC31*(1-'Key Business Variables'!$C$25)</f>
        <v>0</v>
      </c>
      <c r="AD36" s="66">
        <f>AD31*(1-'Key Business Variables'!$C$25)</f>
        <v>0</v>
      </c>
      <c r="AE36" s="66">
        <f>AE31*(1-'Key Business Variables'!$C$25)</f>
        <v>0</v>
      </c>
      <c r="AF36" s="66">
        <f>AF31*(1-'Key Business Variables'!$C$25)</f>
        <v>0</v>
      </c>
      <c r="AG36" s="66">
        <f>AG31*(1-'Key Business Variables'!$C$25)</f>
        <v>0</v>
      </c>
      <c r="AH36" s="66">
        <f>AH31*(1-'Key Business Variables'!$C$25)</f>
        <v>0</v>
      </c>
      <c r="AI36" s="66">
        <f>AI31*(1-'Key Business Variables'!$C$25)</f>
        <v>0</v>
      </c>
      <c r="AJ36" s="66">
        <f>AJ31*(1-'Key Business Variables'!$C$25)</f>
        <v>0</v>
      </c>
      <c r="AK36" s="66">
        <f>AK31*(1-'Key Business Variables'!$C$25)</f>
        <v>0</v>
      </c>
      <c r="AL36" s="66">
        <f>AL31*(1-'Key Business Variables'!$C$25)</f>
        <v>0</v>
      </c>
      <c r="AM36" s="66">
        <f>AM31*(1-'Key Business Variables'!$C$25)</f>
        <v>0</v>
      </c>
      <c r="AN36" s="66">
        <f>AN31*(1-'Key Business Variables'!$C$25)</f>
        <v>0</v>
      </c>
      <c r="AO36" s="66">
        <f>AO31*(1-'Key Business Variables'!$C$25)</f>
        <v>0</v>
      </c>
      <c r="AP36" s="66">
        <f>AP31*(1-'Key Business Variables'!$C$25)</f>
        <v>0</v>
      </c>
      <c r="AQ36" s="66">
        <f>AQ31*(1-'Key Business Variables'!$C$25)</f>
        <v>0</v>
      </c>
      <c r="AR36" s="66">
        <f>AR31*(1-'Key Business Variables'!$C$25)</f>
        <v>0</v>
      </c>
      <c r="AS36" s="66">
        <f>AS31*(1-'Key Business Variables'!$C$25)</f>
        <v>0</v>
      </c>
      <c r="AT36" s="66">
        <f>AT31*(1-'Key Business Variables'!$C$25)</f>
        <v>0</v>
      </c>
      <c r="AU36" s="66">
        <f>AU31*(1-'Key Business Variables'!$C$25)</f>
        <v>0</v>
      </c>
      <c r="AV36" s="66">
        <f>AV31*(1-'Key Business Variables'!$C$25)</f>
        <v>0</v>
      </c>
      <c r="AW36" s="66">
        <f>AW31*(1-'Key Business Variables'!$C$25)</f>
        <v>0</v>
      </c>
      <c r="AX36" s="67">
        <f t="shared" si="1"/>
        <v>0</v>
      </c>
    </row>
    <row r="37" spans="1:51" hidden="1" x14ac:dyDescent="0.6">
      <c r="A37" s="61" t="s">
        <v>95</v>
      </c>
      <c r="B37" s="66">
        <f>-(B24+B26)*'Key Business Variables'!$C$48</f>
        <v>-63.84</v>
      </c>
      <c r="C37" s="66">
        <f>-(C24+C26)*'Key Business Variables'!$C$48</f>
        <v>-127.68</v>
      </c>
      <c r="D37" s="66">
        <f>-(D24+D26)*'Key Business Variables'!$C$48</f>
        <v>-191.52</v>
      </c>
      <c r="E37" s="66">
        <f>-(E24+E26)*'Key Business Variables'!$C$48</f>
        <v>-255.36</v>
      </c>
      <c r="F37" s="66">
        <f>-(F24+F26)*'Key Business Variables'!$C$48</f>
        <v>-319.2</v>
      </c>
      <c r="G37" s="66">
        <f>-(G24+G26)*'Key Business Variables'!$C$48</f>
        <v>-383.04</v>
      </c>
      <c r="H37" s="66">
        <f>-(H24+H26)*'Key Business Variables'!$C$48</f>
        <v>-446.88</v>
      </c>
      <c r="I37" s="66">
        <f>-(I24+I26)*'Key Business Variables'!$C$48</f>
        <v>-510.72</v>
      </c>
      <c r="J37" s="66">
        <f>-(J24+J26)*'Key Business Variables'!$C$48</f>
        <v>-574.56000000000006</v>
      </c>
      <c r="K37" s="66">
        <f>-(K24+K26)*'Key Business Variables'!$C$48</f>
        <v>-638.4</v>
      </c>
      <c r="L37" s="66">
        <f>-(L24+L26)*'Key Business Variables'!$C$48</f>
        <v>-702.24</v>
      </c>
      <c r="M37" s="66">
        <f>-(M24+M26)*'Key Business Variables'!$C$48</f>
        <v>-766.08</v>
      </c>
      <c r="N37" s="66">
        <f>-(N24+N26)*'Key Business Variables'!$C$48</f>
        <v>-826.72799999999995</v>
      </c>
      <c r="O37" s="66">
        <f>-(O24+O26)*'Key Business Variables'!$C$48</f>
        <v>-887.37599999999998</v>
      </c>
      <c r="P37" s="66">
        <f>-(P24+P26)*'Key Business Variables'!$C$48</f>
        <v>-948.024</v>
      </c>
      <c r="Q37" s="66">
        <f>-(Q24+Q26)*'Key Business Variables'!$C$48</f>
        <v>-1008.6719999999998</v>
      </c>
      <c r="R37" s="66">
        <f>-(R24+R26)*'Key Business Variables'!$C$48</f>
        <v>-1069.32</v>
      </c>
      <c r="S37" s="66">
        <f>-(S24+S26)*'Key Business Variables'!$C$48</f>
        <v>-1129.9680000000001</v>
      </c>
      <c r="T37" s="66">
        <f>-(T24+T26)*'Key Business Variables'!$C$48</f>
        <v>-1190.616</v>
      </c>
      <c r="U37" s="66">
        <f>-(U24+U26)*'Key Business Variables'!$C$48</f>
        <v>-1251.2640000000004</v>
      </c>
      <c r="V37" s="66">
        <f>-(V24+V26)*'Key Business Variables'!$C$48</f>
        <v>-1311.912</v>
      </c>
      <c r="W37" s="66">
        <f>-(W24+W26)*'Key Business Variables'!$C$48</f>
        <v>-1372.5600000000004</v>
      </c>
      <c r="X37" s="66">
        <f>-(X24+X26)*'Key Business Variables'!$C$48</f>
        <v>-1433.2080000000005</v>
      </c>
      <c r="Y37" s="66">
        <f>-(Y24+Y26)*'Key Business Variables'!$C$48</f>
        <v>-1493.8560000000004</v>
      </c>
      <c r="Z37" s="66">
        <f>-((Z24+Z26)*'Key Business Variables'!$C$48)+((B24+B26)*'Key Business Variables'!$C$48)</f>
        <v>-1490.6640000000007</v>
      </c>
      <c r="AA37" s="66">
        <f>-((AA24+AA26)*'Key Business Variables'!$C$48)+((C24+C26)*'Key Business Variables'!$C$48)</f>
        <v>-1487.4720000000007</v>
      </c>
      <c r="AB37" s="66">
        <f>-((AB24+AB26)*'Key Business Variables'!$C$48)+((D24+D26)*'Key Business Variables'!$C$48)</f>
        <v>-1484.2800000000007</v>
      </c>
      <c r="AC37" s="66">
        <f>-((AC24+AC26)*'Key Business Variables'!$C$48)+((E24+E26)*'Key Business Variables'!$C$48)</f>
        <v>-1481.0880000000006</v>
      </c>
      <c r="AD37" s="66">
        <f>-((AD24+AD26)*'Key Business Variables'!$C$48)+((F24+F26)*'Key Business Variables'!$C$48)</f>
        <v>-1477.8960000000009</v>
      </c>
      <c r="AE37" s="66">
        <f>-((AE24+AE26)*'Key Business Variables'!$C$48)+((G24+G26)*'Key Business Variables'!$C$48)</f>
        <v>-1474.7040000000009</v>
      </c>
      <c r="AF37" s="66">
        <f>-((AF24+AF26)*'Key Business Variables'!$C$48)+((H24+H26)*'Key Business Variables'!$C$48)</f>
        <v>-1471.5120000000011</v>
      </c>
      <c r="AG37" s="66">
        <f>-((AG24+AG26)*'Key Business Variables'!$C$48)+((I24+I26)*'Key Business Variables'!$C$48)</f>
        <v>-1468.3200000000011</v>
      </c>
      <c r="AH37" s="66">
        <f>-((AH24+AH26)*'Key Business Variables'!$C$48)+((J24+J26)*'Key Business Variables'!$C$48)</f>
        <v>-1465.1280000000011</v>
      </c>
      <c r="AI37" s="66">
        <f>-((AI24+AI26)*'Key Business Variables'!$C$48)+((K24+K26)*'Key Business Variables'!$C$48)</f>
        <v>-1461.9360000000011</v>
      </c>
      <c r="AJ37" s="66">
        <f>-((AJ24+AJ26)*'Key Business Variables'!$C$48)+((L24+L26)*'Key Business Variables'!$C$48)</f>
        <v>-1458.7440000000013</v>
      </c>
      <c r="AK37" s="66">
        <f>-((AK24+AK26)*'Key Business Variables'!$C$48)+((M24+M26)*'Key Business Variables'!$C$48)</f>
        <v>-1455.5520000000015</v>
      </c>
      <c r="AL37" s="66">
        <f>-((AL24+AL26)*'Key Business Variables'!$C$48)+((N24+N26)*'Key Business Variables'!$C$48)</f>
        <v>-1455.552000000001</v>
      </c>
      <c r="AM37" s="66">
        <f>-((AM24+AM26)*'Key Business Variables'!$C$48)+((O24+O26)*'Key Business Variables'!$C$48)</f>
        <v>-1455.5520000000013</v>
      </c>
      <c r="AN37" s="66">
        <f>-((AN24+AN26)*'Key Business Variables'!$C$48)+((P24+P26)*'Key Business Variables'!$C$48)</f>
        <v>-1455.5520000000015</v>
      </c>
      <c r="AO37" s="66">
        <f>-((AO24+AO26)*'Key Business Variables'!$C$48)+((Q24+Q26)*'Key Business Variables'!$C$48)</f>
        <v>-1455.5520000000017</v>
      </c>
      <c r="AP37" s="66">
        <f>-((AP24+AP26)*'Key Business Variables'!$C$48)+((R24+R26)*'Key Business Variables'!$C$48)</f>
        <v>-1455.5520000000017</v>
      </c>
      <c r="AQ37" s="66">
        <f>-((AQ24+AQ26)*'Key Business Variables'!$C$48)+((S24+S26)*'Key Business Variables'!$C$48)</f>
        <v>-1455.5520000000017</v>
      </c>
      <c r="AR37" s="66">
        <f>-((AR24+AR26)*'Key Business Variables'!$C$48)+((T24+T26)*'Key Business Variables'!$C$48)</f>
        <v>-1455.5520000000015</v>
      </c>
      <c r="AS37" s="66">
        <f>-((AS24+AS26)*'Key Business Variables'!$C$48)+((U24+U26)*'Key Business Variables'!$C$48)</f>
        <v>-1455.5520000000017</v>
      </c>
      <c r="AT37" s="66">
        <f>-((AT24+AT26)*'Key Business Variables'!$C$48)+((V24+V26)*'Key Business Variables'!$C$48)</f>
        <v>-1455.5520000000022</v>
      </c>
      <c r="AU37" s="66">
        <f>-((AU24+AU26)*'Key Business Variables'!$C$48)+((W24+W26)*'Key Business Variables'!$C$48)</f>
        <v>-1455.5520000000015</v>
      </c>
      <c r="AV37" s="66">
        <f>-((AV24+AV26)*'Key Business Variables'!$C$48)+((X24+X26)*'Key Business Variables'!$C$48)</f>
        <v>-1455.552000000002</v>
      </c>
      <c r="AW37" s="66">
        <f>-((AW24+AW26)*'Key Business Variables'!$C$48)+((Y24+Y26)*'Key Business Variables'!$C$48)</f>
        <v>-1455.5520000000017</v>
      </c>
      <c r="AX37" s="67">
        <f t="shared" si="1"/>
        <v>-54046.944000000054</v>
      </c>
    </row>
    <row r="38" spans="1:51" hidden="1" x14ac:dyDescent="0.6">
      <c r="A38" s="61" t="s">
        <v>55</v>
      </c>
      <c r="B38" s="66">
        <f>B17*'Key Business Variables'!$C$8*'Key Business Variables'!$C$24/12</f>
        <v>30</v>
      </c>
      <c r="C38" s="66">
        <f>C17*'Key Business Variables'!$C$8*'Key Business Variables'!$C$24/12</f>
        <v>60</v>
      </c>
      <c r="D38" s="66">
        <f>D17*'Key Business Variables'!$C$8*'Key Business Variables'!$C$24/12</f>
        <v>90</v>
      </c>
      <c r="E38" s="66">
        <f>E17*'Key Business Variables'!$C$8*'Key Business Variables'!$C$24/12</f>
        <v>120</v>
      </c>
      <c r="F38" s="66">
        <f>F17*'Key Business Variables'!$C$8*'Key Business Variables'!$C$24/12</f>
        <v>150</v>
      </c>
      <c r="G38" s="66">
        <f>G17*'Key Business Variables'!$C$8*'Key Business Variables'!$C$24/12</f>
        <v>180</v>
      </c>
      <c r="H38" s="66">
        <f>H17*'Key Business Variables'!$C$8*'Key Business Variables'!$C$24/12</f>
        <v>210</v>
      </c>
      <c r="I38" s="66">
        <f>I17*'Key Business Variables'!$C$8*'Key Business Variables'!$C$24/12</f>
        <v>239.99999999999997</v>
      </c>
      <c r="J38" s="66">
        <f>J17*'Key Business Variables'!$C$8*'Key Business Variables'!$C$24/12</f>
        <v>269.99999999999994</v>
      </c>
      <c r="K38" s="66">
        <f>K17*'Key Business Variables'!$C$8*'Key Business Variables'!$C$24/12</f>
        <v>299.99999999999994</v>
      </c>
      <c r="L38" s="66">
        <f>L17*'Key Business Variables'!$C$8*'Key Business Variables'!$C$24/12</f>
        <v>330</v>
      </c>
      <c r="M38" s="66">
        <f>M17*'Key Business Variables'!$C$8*'Key Business Variables'!$C$24/12</f>
        <v>360</v>
      </c>
      <c r="N38" s="66">
        <f>N17*'Key Business Variables'!$C$8*'Key Business Variables'!$C$24/12</f>
        <v>390</v>
      </c>
      <c r="O38" s="66">
        <f>O17*'Key Business Variables'!$C$8*'Key Business Variables'!$C$24/12</f>
        <v>420.00000000000006</v>
      </c>
      <c r="P38" s="66">
        <f>P17*'Key Business Variables'!$C$8*'Key Business Variables'!$C$24/12</f>
        <v>450.00000000000006</v>
      </c>
      <c r="Q38" s="66">
        <f>Q17*'Key Business Variables'!$C$8*'Key Business Variables'!$C$24/12</f>
        <v>480.00000000000006</v>
      </c>
      <c r="R38" s="66">
        <f>R17*'Key Business Variables'!$C$8*'Key Business Variables'!$C$24/12</f>
        <v>510.00000000000006</v>
      </c>
      <c r="S38" s="66">
        <f>S17*'Key Business Variables'!$C$8*'Key Business Variables'!$C$24/12</f>
        <v>540.00000000000011</v>
      </c>
      <c r="T38" s="66">
        <f>T17*'Key Business Variables'!$C$8*'Key Business Variables'!$C$24/12</f>
        <v>570.00000000000011</v>
      </c>
      <c r="U38" s="66">
        <f>U17*'Key Business Variables'!$C$8*'Key Business Variables'!$C$24/12</f>
        <v>600.00000000000023</v>
      </c>
      <c r="V38" s="66">
        <f>V17*'Key Business Variables'!$C$8*'Key Business Variables'!$C$24/12</f>
        <v>630.00000000000011</v>
      </c>
      <c r="W38" s="66">
        <f>W17*'Key Business Variables'!$C$8*'Key Business Variables'!$C$24/12</f>
        <v>660.00000000000011</v>
      </c>
      <c r="X38" s="66">
        <f>X17*'Key Business Variables'!$C$8*'Key Business Variables'!$C$24/12</f>
        <v>690</v>
      </c>
      <c r="Y38" s="66">
        <f>Y17*'Key Business Variables'!$C$8*'Key Business Variables'!$C$24/12</f>
        <v>720</v>
      </c>
      <c r="Z38" s="66">
        <f>Z17*'Key Business Variables'!$C$8*'Key Business Variables'!$C$24/12</f>
        <v>750</v>
      </c>
      <c r="AA38" s="66">
        <f>AA17*'Key Business Variables'!$C$8*'Key Business Variables'!$C$24/12</f>
        <v>779.99999999999989</v>
      </c>
      <c r="AB38" s="66">
        <f>AB17*'Key Business Variables'!$C$8*'Key Business Variables'!$C$24/12</f>
        <v>809.99999999999989</v>
      </c>
      <c r="AC38" s="66">
        <f>AC17*'Key Business Variables'!$C$8*'Key Business Variables'!$C$24/12</f>
        <v>839.99999999999966</v>
      </c>
      <c r="AD38" s="66">
        <f>AD17*'Key Business Variables'!$C$8*'Key Business Variables'!$C$24/12</f>
        <v>869.99999999999966</v>
      </c>
      <c r="AE38" s="66">
        <f>AE17*'Key Business Variables'!$C$8*'Key Business Variables'!$C$24/12</f>
        <v>899.99999999999966</v>
      </c>
      <c r="AF38" s="66">
        <f>AF17*'Key Business Variables'!$C$8*'Key Business Variables'!$C$24/12</f>
        <v>929.99999999999966</v>
      </c>
      <c r="AG38" s="66">
        <f>AG17*'Key Business Variables'!$C$8*'Key Business Variables'!$C$24/12</f>
        <v>959.99999999999966</v>
      </c>
      <c r="AH38" s="66">
        <f>AH17*'Key Business Variables'!$C$8*'Key Business Variables'!$C$24/12</f>
        <v>989.99999999999955</v>
      </c>
      <c r="AI38" s="66">
        <f>AI17*'Key Business Variables'!$C$8*'Key Business Variables'!$C$24/12</f>
        <v>1019.9999999999995</v>
      </c>
      <c r="AJ38" s="66">
        <f>AJ17*'Key Business Variables'!$C$8*'Key Business Variables'!$C$24/12</f>
        <v>1049.9999999999995</v>
      </c>
      <c r="AK38" s="66">
        <f>AK17*'Key Business Variables'!$C$8*'Key Business Variables'!$C$24/12</f>
        <v>1079.9999999999995</v>
      </c>
      <c r="AL38" s="66">
        <f>AL17*'Key Business Variables'!$C$8*'Key Business Variables'!$C$24/12</f>
        <v>1109.9999999999993</v>
      </c>
      <c r="AM38" s="66">
        <f>AM17*'Key Business Variables'!$C$8*'Key Business Variables'!$C$24/12</f>
        <v>1139.9999999999993</v>
      </c>
      <c r="AN38" s="66">
        <f>AN17*'Key Business Variables'!$C$8*'Key Business Variables'!$C$24/12</f>
        <v>1169.9999999999995</v>
      </c>
      <c r="AO38" s="66">
        <f>AO17*'Key Business Variables'!$C$8*'Key Business Variables'!$C$24/12</f>
        <v>1199.9999999999995</v>
      </c>
      <c r="AP38" s="66">
        <f>AP17*'Key Business Variables'!$C$8*'Key Business Variables'!$C$24/12</f>
        <v>1229.9999999999995</v>
      </c>
      <c r="AQ38" s="66">
        <f>AQ17*'Key Business Variables'!$C$8*'Key Business Variables'!$C$24/12</f>
        <v>1259.9999999999998</v>
      </c>
      <c r="AR38" s="66">
        <f>AR17*'Key Business Variables'!$C$8*'Key Business Variables'!$C$24/12</f>
        <v>1289.9999999999998</v>
      </c>
      <c r="AS38" s="66">
        <f>AS17*'Key Business Variables'!$C$8*'Key Business Variables'!$C$24/12</f>
        <v>1320</v>
      </c>
      <c r="AT38" s="66">
        <f>AT17*'Key Business Variables'!$C$8*'Key Business Variables'!$C$24/12</f>
        <v>1350</v>
      </c>
      <c r="AU38" s="66">
        <f>AU17*'Key Business Variables'!$C$8*'Key Business Variables'!$C$24/12</f>
        <v>1380</v>
      </c>
      <c r="AV38" s="66">
        <f>AV17*'Key Business Variables'!$C$8*'Key Business Variables'!$C$24/12</f>
        <v>1410.0000000000002</v>
      </c>
      <c r="AW38" s="66">
        <f>AW17*'Key Business Variables'!$C$8*'Key Business Variables'!$C$24/12</f>
        <v>1440.0000000000002</v>
      </c>
    </row>
    <row r="39" spans="1:51" hidden="1" x14ac:dyDescent="0.6">
      <c r="A39" s="61" t="str">
        <f>'Fine Tuning'!A10</f>
        <v>Cloud Services Manager</v>
      </c>
      <c r="B39" s="66">
        <f>'Fine Tuning'!B10/12*'Key Business Variables'!$C27</f>
        <v>0</v>
      </c>
      <c r="C39" s="66">
        <f>'Fine Tuning'!C10/12*'Key Business Variables'!$C27</f>
        <v>0</v>
      </c>
      <c r="D39" s="66">
        <f>'Fine Tuning'!D10/12*'Key Business Variables'!$C27</f>
        <v>0</v>
      </c>
      <c r="E39" s="66">
        <f>'Fine Tuning'!E10/12*'Key Business Variables'!$C27</f>
        <v>0</v>
      </c>
      <c r="F39" s="66">
        <f>'Fine Tuning'!F10/12*'Key Business Variables'!$C27</f>
        <v>0</v>
      </c>
      <c r="G39" s="66">
        <f>'Fine Tuning'!G10/12*'Key Business Variables'!$C27</f>
        <v>0</v>
      </c>
      <c r="H39" s="66">
        <f>'Fine Tuning'!H10/12*'Key Business Variables'!$C27</f>
        <v>0</v>
      </c>
      <c r="I39" s="66">
        <f>'Fine Tuning'!I10/12*'Key Business Variables'!$C27</f>
        <v>0</v>
      </c>
      <c r="J39" s="66">
        <f>'Fine Tuning'!J10/12*'Key Business Variables'!$C27</f>
        <v>0</v>
      </c>
      <c r="K39" s="66">
        <f>'Fine Tuning'!K10/12*'Key Business Variables'!$C27</f>
        <v>0</v>
      </c>
      <c r="L39" s="66">
        <f>'Fine Tuning'!L10/12*'Key Business Variables'!$C27</f>
        <v>0</v>
      </c>
      <c r="M39" s="66">
        <f>'Fine Tuning'!M10/12*'Key Business Variables'!$C27</f>
        <v>0</v>
      </c>
      <c r="N39" s="66">
        <f>'Fine Tuning'!N10/12*'Key Business Variables'!$C27</f>
        <v>0</v>
      </c>
      <c r="O39" s="66">
        <f>'Fine Tuning'!O10/12*'Key Business Variables'!$C27</f>
        <v>0</v>
      </c>
      <c r="P39" s="66">
        <f>'Fine Tuning'!P10/12*'Key Business Variables'!$C27</f>
        <v>0</v>
      </c>
      <c r="Q39" s="66">
        <f>'Fine Tuning'!Q10/12*'Key Business Variables'!$C27</f>
        <v>0</v>
      </c>
      <c r="R39" s="66">
        <f>'Fine Tuning'!R10/12*'Key Business Variables'!$C27</f>
        <v>0</v>
      </c>
      <c r="S39" s="66">
        <f>'Fine Tuning'!S10/12*'Key Business Variables'!$C27</f>
        <v>0</v>
      </c>
      <c r="T39" s="66">
        <f>'Fine Tuning'!T10/12*'Key Business Variables'!$C27</f>
        <v>0</v>
      </c>
      <c r="U39" s="66">
        <f>'Fine Tuning'!U10/12*'Key Business Variables'!$C27</f>
        <v>0</v>
      </c>
      <c r="V39" s="66">
        <f>'Fine Tuning'!V10/12*'Key Business Variables'!$C27</f>
        <v>0</v>
      </c>
      <c r="W39" s="66">
        <f>'Fine Tuning'!W10/12*'Key Business Variables'!$C27</f>
        <v>0</v>
      </c>
      <c r="X39" s="66">
        <f>'Fine Tuning'!X10/12*'Key Business Variables'!$C27</f>
        <v>0</v>
      </c>
      <c r="Y39" s="66">
        <f>'Fine Tuning'!Y10/12*'Key Business Variables'!$C27</f>
        <v>0</v>
      </c>
      <c r="Z39" s="66">
        <f>'Fine Tuning'!Z10/12*'Key Business Variables'!$C27</f>
        <v>0</v>
      </c>
      <c r="AA39" s="66">
        <f>'Fine Tuning'!AA10/12*'Key Business Variables'!$C27</f>
        <v>0</v>
      </c>
      <c r="AB39" s="66">
        <f>'Fine Tuning'!AB10/12*'Key Business Variables'!$C27</f>
        <v>0</v>
      </c>
      <c r="AC39" s="66">
        <f>'Fine Tuning'!AC10/12*'Key Business Variables'!$C27</f>
        <v>0</v>
      </c>
      <c r="AD39" s="66">
        <f>'Fine Tuning'!AD10/12*'Key Business Variables'!$C27</f>
        <v>0</v>
      </c>
      <c r="AE39" s="66">
        <f>'Fine Tuning'!AE10/12*'Key Business Variables'!$C27</f>
        <v>0</v>
      </c>
      <c r="AF39" s="66">
        <f>'Fine Tuning'!AF10/12*'Key Business Variables'!$C27</f>
        <v>0</v>
      </c>
      <c r="AG39" s="66">
        <f>'Fine Tuning'!AG10/12*'Key Business Variables'!$C27</f>
        <v>0</v>
      </c>
      <c r="AH39" s="66">
        <f>'Fine Tuning'!AH10/12*'Key Business Variables'!$C27</f>
        <v>0</v>
      </c>
      <c r="AI39" s="66">
        <f>'Fine Tuning'!AI10/12*'Key Business Variables'!$C27</f>
        <v>0</v>
      </c>
      <c r="AJ39" s="66">
        <f>'Fine Tuning'!AJ10/12*'Key Business Variables'!$C27</f>
        <v>0</v>
      </c>
      <c r="AK39" s="66">
        <f>'Fine Tuning'!AK10/12*'Key Business Variables'!$C27</f>
        <v>0</v>
      </c>
      <c r="AL39" s="66">
        <f>'Fine Tuning'!AL10/12*'Key Business Variables'!$C27</f>
        <v>0</v>
      </c>
      <c r="AM39" s="66">
        <f>'Fine Tuning'!AM10/12*'Key Business Variables'!$C27</f>
        <v>0</v>
      </c>
      <c r="AN39" s="66">
        <f>'Fine Tuning'!AN10/12*'Key Business Variables'!$C27</f>
        <v>0</v>
      </c>
      <c r="AO39" s="66">
        <f>'Fine Tuning'!AO10/12*'Key Business Variables'!$C27</f>
        <v>0</v>
      </c>
      <c r="AP39" s="66">
        <f>'Fine Tuning'!AP10/12*'Key Business Variables'!$C27</f>
        <v>0</v>
      </c>
      <c r="AQ39" s="66">
        <f>'Fine Tuning'!AQ10/12*'Key Business Variables'!$C27</f>
        <v>0</v>
      </c>
      <c r="AR39" s="66">
        <f>'Fine Tuning'!AR10/12*'Key Business Variables'!$C27</f>
        <v>0</v>
      </c>
      <c r="AS39" s="66">
        <f>'Fine Tuning'!AS10/12*'Key Business Variables'!$C27</f>
        <v>0</v>
      </c>
      <c r="AT39" s="66">
        <f>'Fine Tuning'!AT10/12*'Key Business Variables'!$C27</f>
        <v>0</v>
      </c>
      <c r="AU39" s="66">
        <f>'Fine Tuning'!AU10/12*'Key Business Variables'!$C27</f>
        <v>0</v>
      </c>
      <c r="AV39" s="66">
        <f>'Fine Tuning'!AV10/12*'Key Business Variables'!$C27</f>
        <v>0</v>
      </c>
      <c r="AW39" s="66">
        <f>'Fine Tuning'!AW10/12*'Key Business Variables'!$C27</f>
        <v>0</v>
      </c>
    </row>
    <row r="40" spans="1:51" hidden="1" x14ac:dyDescent="0.6">
      <c r="A40" s="61" t="str">
        <f>'Fine Tuning'!A11</f>
        <v>Business Analyst</v>
      </c>
      <c r="B40" s="66">
        <f>'Fine Tuning'!B11/12*'Key Business Variables'!$C28</f>
        <v>0</v>
      </c>
      <c r="C40" s="66">
        <f>'Fine Tuning'!C11/12*'Key Business Variables'!$C28</f>
        <v>0</v>
      </c>
      <c r="D40" s="66">
        <f>'Fine Tuning'!D11/12*'Key Business Variables'!$C28</f>
        <v>0</v>
      </c>
      <c r="E40" s="66">
        <f>'Fine Tuning'!E11/12*'Key Business Variables'!$C28</f>
        <v>0</v>
      </c>
      <c r="F40" s="66">
        <f>'Fine Tuning'!F11/12*'Key Business Variables'!$C28</f>
        <v>0</v>
      </c>
      <c r="G40" s="66">
        <f>'Fine Tuning'!G11/12*'Key Business Variables'!$C28</f>
        <v>0</v>
      </c>
      <c r="H40" s="66">
        <f>'Fine Tuning'!H11/12*'Key Business Variables'!$C28</f>
        <v>0</v>
      </c>
      <c r="I40" s="66">
        <f>'Fine Tuning'!I11/12*'Key Business Variables'!$C28</f>
        <v>0</v>
      </c>
      <c r="J40" s="66">
        <f>'Fine Tuning'!J11/12*'Key Business Variables'!$C28</f>
        <v>0</v>
      </c>
      <c r="K40" s="66">
        <f>'Fine Tuning'!K11/12*'Key Business Variables'!$C28</f>
        <v>0</v>
      </c>
      <c r="L40" s="66">
        <f>'Fine Tuning'!L11/12*'Key Business Variables'!$C28</f>
        <v>0</v>
      </c>
      <c r="M40" s="66">
        <f>'Fine Tuning'!M11/12*'Key Business Variables'!$C28</f>
        <v>0</v>
      </c>
      <c r="N40" s="66">
        <f>'Fine Tuning'!N11/12*'Key Business Variables'!$C28</f>
        <v>0</v>
      </c>
      <c r="O40" s="66">
        <f>'Fine Tuning'!O11/12*'Key Business Variables'!$C28</f>
        <v>0</v>
      </c>
      <c r="P40" s="66">
        <f>'Fine Tuning'!P11/12*'Key Business Variables'!$C28</f>
        <v>0</v>
      </c>
      <c r="Q40" s="66">
        <f>'Fine Tuning'!Q11/12*'Key Business Variables'!$C28</f>
        <v>0</v>
      </c>
      <c r="R40" s="66">
        <f>'Fine Tuning'!R11/12*'Key Business Variables'!$C28</f>
        <v>0</v>
      </c>
      <c r="S40" s="66">
        <f>'Fine Tuning'!S11/12*'Key Business Variables'!$C28</f>
        <v>0</v>
      </c>
      <c r="T40" s="66">
        <f>'Fine Tuning'!T11/12*'Key Business Variables'!$C28</f>
        <v>0</v>
      </c>
      <c r="U40" s="66">
        <f>'Fine Tuning'!U11/12*'Key Business Variables'!$C28</f>
        <v>0</v>
      </c>
      <c r="V40" s="66">
        <f>'Fine Tuning'!V11/12*'Key Business Variables'!$C28</f>
        <v>0</v>
      </c>
      <c r="W40" s="66">
        <f>'Fine Tuning'!W11/12*'Key Business Variables'!$C28</f>
        <v>0</v>
      </c>
      <c r="X40" s="66">
        <f>'Fine Tuning'!X11/12*'Key Business Variables'!$C28</f>
        <v>0</v>
      </c>
      <c r="Y40" s="66">
        <f>'Fine Tuning'!Y11/12*'Key Business Variables'!$C28</f>
        <v>0</v>
      </c>
      <c r="Z40" s="66">
        <f>'Fine Tuning'!Z11/12*'Key Business Variables'!$C28</f>
        <v>0</v>
      </c>
      <c r="AA40" s="66">
        <f>'Fine Tuning'!AA11/12*'Key Business Variables'!$C28</f>
        <v>0</v>
      </c>
      <c r="AB40" s="66">
        <f>'Fine Tuning'!AB11/12*'Key Business Variables'!$C28</f>
        <v>0</v>
      </c>
      <c r="AC40" s="66">
        <f>'Fine Tuning'!AC11/12*'Key Business Variables'!$C28</f>
        <v>0</v>
      </c>
      <c r="AD40" s="66">
        <f>'Fine Tuning'!AD11/12*'Key Business Variables'!$C28</f>
        <v>0</v>
      </c>
      <c r="AE40" s="66">
        <f>'Fine Tuning'!AE11/12*'Key Business Variables'!$C28</f>
        <v>0</v>
      </c>
      <c r="AF40" s="66">
        <f>'Fine Tuning'!AF11/12*'Key Business Variables'!$C28</f>
        <v>0</v>
      </c>
      <c r="AG40" s="66">
        <f>'Fine Tuning'!AG11/12*'Key Business Variables'!$C28</f>
        <v>0</v>
      </c>
      <c r="AH40" s="66">
        <f>'Fine Tuning'!AH11/12*'Key Business Variables'!$C28</f>
        <v>0</v>
      </c>
      <c r="AI40" s="66">
        <f>'Fine Tuning'!AI11/12*'Key Business Variables'!$C28</f>
        <v>0</v>
      </c>
      <c r="AJ40" s="66">
        <f>'Fine Tuning'!AJ11/12*'Key Business Variables'!$C28</f>
        <v>0</v>
      </c>
      <c r="AK40" s="66">
        <f>'Fine Tuning'!AK11/12*'Key Business Variables'!$C28</f>
        <v>0</v>
      </c>
      <c r="AL40" s="66">
        <f>'Fine Tuning'!AL11/12*'Key Business Variables'!$C28</f>
        <v>0</v>
      </c>
      <c r="AM40" s="66">
        <f>'Fine Tuning'!AM11/12*'Key Business Variables'!$C28</f>
        <v>0</v>
      </c>
      <c r="AN40" s="66">
        <f>'Fine Tuning'!AN11/12*'Key Business Variables'!$C28</f>
        <v>0</v>
      </c>
      <c r="AO40" s="66">
        <f>'Fine Tuning'!AO11/12*'Key Business Variables'!$C28</f>
        <v>0</v>
      </c>
      <c r="AP40" s="66">
        <f>'Fine Tuning'!AP11/12*'Key Business Variables'!$C28</f>
        <v>0</v>
      </c>
      <c r="AQ40" s="66">
        <f>'Fine Tuning'!AQ11/12*'Key Business Variables'!$C28</f>
        <v>0</v>
      </c>
      <c r="AR40" s="66">
        <f>'Fine Tuning'!AR11/12*'Key Business Variables'!$C28</f>
        <v>0</v>
      </c>
      <c r="AS40" s="66">
        <f>'Fine Tuning'!AS11/12*'Key Business Variables'!$C28</f>
        <v>0</v>
      </c>
      <c r="AT40" s="66">
        <f>'Fine Tuning'!AT11/12*'Key Business Variables'!$C28</f>
        <v>0</v>
      </c>
      <c r="AU40" s="66">
        <f>'Fine Tuning'!AU11/12*'Key Business Variables'!$C28</f>
        <v>0</v>
      </c>
      <c r="AV40" s="66">
        <f>'Fine Tuning'!AV11/12*'Key Business Variables'!$C28</f>
        <v>0</v>
      </c>
      <c r="AW40" s="66">
        <f>'Fine Tuning'!AW11/12*'Key Business Variables'!$C28</f>
        <v>0</v>
      </c>
    </row>
    <row r="41" spans="1:51" hidden="1" x14ac:dyDescent="0.6">
      <c r="A41" s="61" t="str">
        <f>'Fine Tuning'!A14</f>
        <v>Onboarding Specialist</v>
      </c>
      <c r="B41" s="66">
        <f>'Fine Tuning'!B14/12*'Key Business Variables'!$C31</f>
        <v>4583.333333333333</v>
      </c>
      <c r="C41" s="66">
        <f>'Fine Tuning'!C14/12*'Key Business Variables'!$C31</f>
        <v>4583.333333333333</v>
      </c>
      <c r="D41" s="66">
        <f>'Fine Tuning'!D14/12*'Key Business Variables'!$C31</f>
        <v>4583.333333333333</v>
      </c>
      <c r="E41" s="66">
        <f>'Fine Tuning'!E14/12*'Key Business Variables'!$C31</f>
        <v>4583.333333333333</v>
      </c>
      <c r="F41" s="66">
        <f>'Fine Tuning'!F14/12*'Key Business Variables'!$C31</f>
        <v>4583.333333333333</v>
      </c>
      <c r="G41" s="66">
        <f>'Fine Tuning'!G14/12*'Key Business Variables'!$C31</f>
        <v>4583.333333333333</v>
      </c>
      <c r="H41" s="66">
        <f>'Fine Tuning'!H14/12*'Key Business Variables'!$C31</f>
        <v>4583.333333333333</v>
      </c>
      <c r="I41" s="66">
        <f>'Fine Tuning'!I14/12*'Key Business Variables'!$C31</f>
        <v>4583.333333333333</v>
      </c>
      <c r="J41" s="66">
        <f>'Fine Tuning'!J14/12*'Key Business Variables'!$C31</f>
        <v>4583.333333333333</v>
      </c>
      <c r="K41" s="66">
        <f>'Fine Tuning'!K14/12*'Key Business Variables'!$C31</f>
        <v>4583.333333333333</v>
      </c>
      <c r="L41" s="66">
        <f>'Fine Tuning'!L14/12*'Key Business Variables'!$C31</f>
        <v>4583.333333333333</v>
      </c>
      <c r="M41" s="66">
        <f>'Fine Tuning'!M14/12*'Key Business Variables'!$C31</f>
        <v>4583.333333333333</v>
      </c>
      <c r="N41" s="66">
        <f>'Fine Tuning'!N14/12*'Key Business Variables'!$C31</f>
        <v>4583.333333333333</v>
      </c>
      <c r="O41" s="66">
        <f>'Fine Tuning'!O14/12*'Key Business Variables'!$C31</f>
        <v>4583.333333333333</v>
      </c>
      <c r="P41" s="66">
        <f>'Fine Tuning'!P14/12*'Key Business Variables'!$C31</f>
        <v>4583.333333333333</v>
      </c>
      <c r="Q41" s="66">
        <f>'Fine Tuning'!Q14/12*'Key Business Variables'!$C31</f>
        <v>4583.333333333333</v>
      </c>
      <c r="R41" s="66">
        <f>'Fine Tuning'!R14/12*'Key Business Variables'!$C31</f>
        <v>4583.333333333333</v>
      </c>
      <c r="S41" s="66">
        <f>'Fine Tuning'!S14/12*'Key Business Variables'!$C31</f>
        <v>4583.333333333333</v>
      </c>
      <c r="T41" s="66">
        <f>'Fine Tuning'!T14/12*'Key Business Variables'!$C31</f>
        <v>4583.333333333333</v>
      </c>
      <c r="U41" s="66">
        <f>'Fine Tuning'!U14/12*'Key Business Variables'!$C31</f>
        <v>4583.333333333333</v>
      </c>
      <c r="V41" s="66">
        <f>'Fine Tuning'!V14/12*'Key Business Variables'!$C31</f>
        <v>4583.333333333333</v>
      </c>
      <c r="W41" s="66">
        <f>'Fine Tuning'!W14/12*'Key Business Variables'!$C31</f>
        <v>4583.333333333333</v>
      </c>
      <c r="X41" s="66">
        <f>'Fine Tuning'!X14/12*'Key Business Variables'!$C31</f>
        <v>4583.333333333333</v>
      </c>
      <c r="Y41" s="66">
        <f>'Fine Tuning'!Y14/12*'Key Business Variables'!$C31</f>
        <v>4583.333333333333</v>
      </c>
      <c r="Z41" s="66">
        <f>'Fine Tuning'!Z14/12*'Key Business Variables'!$C31</f>
        <v>4583.333333333333</v>
      </c>
      <c r="AA41" s="66">
        <f>'Fine Tuning'!AA14/12*'Key Business Variables'!$C31</f>
        <v>4583.333333333333</v>
      </c>
      <c r="AB41" s="66">
        <f>'Fine Tuning'!AB14/12*'Key Business Variables'!$C31</f>
        <v>4583.333333333333</v>
      </c>
      <c r="AC41" s="66">
        <f>'Fine Tuning'!AC14/12*'Key Business Variables'!$C31</f>
        <v>4583.333333333333</v>
      </c>
      <c r="AD41" s="66">
        <f>'Fine Tuning'!AD14/12*'Key Business Variables'!$C31</f>
        <v>4583.333333333333</v>
      </c>
      <c r="AE41" s="66">
        <f>'Fine Tuning'!AE14/12*'Key Business Variables'!$C31</f>
        <v>4583.333333333333</v>
      </c>
      <c r="AF41" s="66">
        <f>'Fine Tuning'!AF14/12*'Key Business Variables'!$C31</f>
        <v>4583.333333333333</v>
      </c>
      <c r="AG41" s="66">
        <f>'Fine Tuning'!AG14/12*'Key Business Variables'!$C31</f>
        <v>4583.333333333333</v>
      </c>
      <c r="AH41" s="66">
        <f>'Fine Tuning'!AH14/12*'Key Business Variables'!$C31</f>
        <v>4583.333333333333</v>
      </c>
      <c r="AI41" s="66">
        <f>'Fine Tuning'!AI14/12*'Key Business Variables'!$C31</f>
        <v>4583.333333333333</v>
      </c>
      <c r="AJ41" s="66">
        <f>'Fine Tuning'!AJ14/12*'Key Business Variables'!$C31</f>
        <v>4583.333333333333</v>
      </c>
      <c r="AK41" s="66">
        <f>'Fine Tuning'!AK14/12*'Key Business Variables'!$C31</f>
        <v>4583.333333333333</v>
      </c>
      <c r="AL41" s="66">
        <f>'Fine Tuning'!AL14/12*'Key Business Variables'!$C31</f>
        <v>4583.333333333333</v>
      </c>
      <c r="AM41" s="66">
        <f>'Fine Tuning'!AM14/12*'Key Business Variables'!$C31</f>
        <v>4583.333333333333</v>
      </c>
      <c r="AN41" s="66">
        <f>'Fine Tuning'!AN14/12*'Key Business Variables'!$C31</f>
        <v>4583.333333333333</v>
      </c>
      <c r="AO41" s="66">
        <f>'Fine Tuning'!AO14/12*'Key Business Variables'!$C31</f>
        <v>4583.333333333333</v>
      </c>
      <c r="AP41" s="66">
        <f>'Fine Tuning'!AP14/12*'Key Business Variables'!$C31</f>
        <v>4583.333333333333</v>
      </c>
      <c r="AQ41" s="66">
        <f>'Fine Tuning'!AQ14/12*'Key Business Variables'!$C31</f>
        <v>4583.333333333333</v>
      </c>
      <c r="AR41" s="66">
        <f>'Fine Tuning'!AR14/12*'Key Business Variables'!$C31</f>
        <v>4583.333333333333</v>
      </c>
      <c r="AS41" s="66">
        <f>'Fine Tuning'!AS14/12*'Key Business Variables'!$C31</f>
        <v>4583.333333333333</v>
      </c>
      <c r="AT41" s="66">
        <f>'Fine Tuning'!AT14/12*'Key Business Variables'!$C31</f>
        <v>4583.333333333333</v>
      </c>
      <c r="AU41" s="66">
        <f>'Fine Tuning'!AU14/12*'Key Business Variables'!$C31</f>
        <v>4583.333333333333</v>
      </c>
      <c r="AV41" s="66">
        <f>'Fine Tuning'!AV14/12*'Key Business Variables'!$C31</f>
        <v>4583.333333333333</v>
      </c>
      <c r="AW41" s="66">
        <f>'Fine Tuning'!AW14/12*'Key Business Variables'!$C31</f>
        <v>4583.333333333333</v>
      </c>
    </row>
    <row r="42" spans="1:51" hidden="1" x14ac:dyDescent="0.6">
      <c r="A42" s="61" t="str">
        <f>'Fine Tuning'!A12</f>
        <v>Customer Success Manager</v>
      </c>
      <c r="B42" s="66">
        <f>'Fine Tuning'!B12/12*'Key Business Variables'!$C29</f>
        <v>0</v>
      </c>
      <c r="C42" s="66">
        <f>'Fine Tuning'!C12/12*'Key Business Variables'!$C29</f>
        <v>0</v>
      </c>
      <c r="D42" s="66">
        <f>'Fine Tuning'!D12/12*'Key Business Variables'!$C29</f>
        <v>0</v>
      </c>
      <c r="E42" s="66">
        <f>'Fine Tuning'!E12/12*'Key Business Variables'!$C29</f>
        <v>0</v>
      </c>
      <c r="F42" s="66">
        <f>'Fine Tuning'!F12/12*'Key Business Variables'!$C29</f>
        <v>0</v>
      </c>
      <c r="G42" s="66">
        <f>'Fine Tuning'!G12/12*'Key Business Variables'!$C29</f>
        <v>0</v>
      </c>
      <c r="H42" s="66">
        <f>'Fine Tuning'!H12/12*'Key Business Variables'!$C29</f>
        <v>0</v>
      </c>
      <c r="I42" s="66">
        <f>'Fine Tuning'!I12/12*'Key Business Variables'!$C29</f>
        <v>0</v>
      </c>
      <c r="J42" s="66">
        <f>'Fine Tuning'!J12/12*'Key Business Variables'!$C29</f>
        <v>0</v>
      </c>
      <c r="K42" s="66">
        <f>'Fine Tuning'!K12/12*'Key Business Variables'!$C29</f>
        <v>0</v>
      </c>
      <c r="L42" s="66">
        <f>'Fine Tuning'!L12/12*'Key Business Variables'!$C29</f>
        <v>0</v>
      </c>
      <c r="M42" s="66">
        <f>'Fine Tuning'!M12/12*'Key Business Variables'!$C29</f>
        <v>0</v>
      </c>
      <c r="N42" s="66">
        <f>'Fine Tuning'!N12/12*'Key Business Variables'!$C29</f>
        <v>0</v>
      </c>
      <c r="O42" s="66">
        <f>'Fine Tuning'!O12/12*'Key Business Variables'!$C29</f>
        <v>0</v>
      </c>
      <c r="P42" s="66">
        <f>'Fine Tuning'!P12/12*'Key Business Variables'!$C29</f>
        <v>0</v>
      </c>
      <c r="Q42" s="66">
        <f>'Fine Tuning'!Q12/12*'Key Business Variables'!$C29</f>
        <v>0</v>
      </c>
      <c r="R42" s="66">
        <f>'Fine Tuning'!R12/12*'Key Business Variables'!$C29</f>
        <v>0</v>
      </c>
      <c r="S42" s="66">
        <f>'Fine Tuning'!S12/12*'Key Business Variables'!$C29</f>
        <v>0</v>
      </c>
      <c r="T42" s="66">
        <f>'Fine Tuning'!T12/12*'Key Business Variables'!$C29</f>
        <v>0</v>
      </c>
      <c r="U42" s="66">
        <f>'Fine Tuning'!U12/12*'Key Business Variables'!$C29</f>
        <v>0</v>
      </c>
      <c r="V42" s="66">
        <f>'Fine Tuning'!V12/12*'Key Business Variables'!$C29</f>
        <v>0</v>
      </c>
      <c r="W42" s="66">
        <f>'Fine Tuning'!W12/12*'Key Business Variables'!$C29</f>
        <v>0</v>
      </c>
      <c r="X42" s="66">
        <f>'Fine Tuning'!X12/12*'Key Business Variables'!$C29</f>
        <v>0</v>
      </c>
      <c r="Y42" s="66">
        <f>'Fine Tuning'!Y12/12*'Key Business Variables'!$C29</f>
        <v>0</v>
      </c>
      <c r="Z42" s="66">
        <f>'Fine Tuning'!Z12/12*'Key Business Variables'!$C29</f>
        <v>0</v>
      </c>
      <c r="AA42" s="66">
        <f>'Fine Tuning'!AA12/12*'Key Business Variables'!$C29</f>
        <v>0</v>
      </c>
      <c r="AB42" s="66">
        <f>'Fine Tuning'!AB12/12*'Key Business Variables'!$C29</f>
        <v>0</v>
      </c>
      <c r="AC42" s="66">
        <f>'Fine Tuning'!AC12/12*'Key Business Variables'!$C29</f>
        <v>0</v>
      </c>
      <c r="AD42" s="66">
        <f>'Fine Tuning'!AD12/12*'Key Business Variables'!$C29</f>
        <v>0</v>
      </c>
      <c r="AE42" s="66">
        <f>'Fine Tuning'!AE12/12*'Key Business Variables'!$C29</f>
        <v>0</v>
      </c>
      <c r="AF42" s="66">
        <f>'Fine Tuning'!AF12/12*'Key Business Variables'!$C29</f>
        <v>0</v>
      </c>
      <c r="AG42" s="66">
        <f>'Fine Tuning'!AG12/12*'Key Business Variables'!$C29</f>
        <v>0</v>
      </c>
      <c r="AH42" s="66">
        <f>'Fine Tuning'!AH12/12*'Key Business Variables'!$C29</f>
        <v>0</v>
      </c>
      <c r="AI42" s="66">
        <f>'Fine Tuning'!AI12/12*'Key Business Variables'!$C29</f>
        <v>0</v>
      </c>
      <c r="AJ42" s="66">
        <f>'Fine Tuning'!AJ12/12*'Key Business Variables'!$C29</f>
        <v>0</v>
      </c>
      <c r="AK42" s="66">
        <f>'Fine Tuning'!AK12/12*'Key Business Variables'!$C29</f>
        <v>0</v>
      </c>
      <c r="AL42" s="66">
        <f>'Fine Tuning'!AL12/12*'Key Business Variables'!$C29</f>
        <v>0</v>
      </c>
      <c r="AM42" s="66">
        <f>'Fine Tuning'!AM12/12*'Key Business Variables'!$C29</f>
        <v>0</v>
      </c>
      <c r="AN42" s="66">
        <f>'Fine Tuning'!AN12/12*'Key Business Variables'!$C29</f>
        <v>0</v>
      </c>
      <c r="AO42" s="66">
        <f>'Fine Tuning'!AO12/12*'Key Business Variables'!$C29</f>
        <v>0</v>
      </c>
      <c r="AP42" s="66">
        <f>'Fine Tuning'!AP12/12*'Key Business Variables'!$C29</f>
        <v>0</v>
      </c>
      <c r="AQ42" s="66">
        <f>'Fine Tuning'!AQ12/12*'Key Business Variables'!$C29</f>
        <v>0</v>
      </c>
      <c r="AR42" s="66">
        <f>'Fine Tuning'!AR12/12*'Key Business Variables'!$C29</f>
        <v>0</v>
      </c>
      <c r="AS42" s="66">
        <f>'Fine Tuning'!AS12/12*'Key Business Variables'!$C29</f>
        <v>0</v>
      </c>
      <c r="AT42" s="66">
        <f>'Fine Tuning'!AT12/12*'Key Business Variables'!$C29</f>
        <v>0</v>
      </c>
      <c r="AU42" s="66">
        <f>'Fine Tuning'!AU12/12*'Key Business Variables'!$C29</f>
        <v>0</v>
      </c>
      <c r="AV42" s="66">
        <f>'Fine Tuning'!AV12/12*'Key Business Variables'!$C29</f>
        <v>0</v>
      </c>
      <c r="AW42" s="66">
        <f>'Fine Tuning'!AW12/12*'Key Business Variables'!$C29</f>
        <v>0</v>
      </c>
    </row>
    <row r="43" spans="1:51" hidden="1" x14ac:dyDescent="0.6">
      <c r="A43" s="61" t="str">
        <f>'Fine Tuning'!A13</f>
        <v>Developer</v>
      </c>
      <c r="B43" s="66">
        <f>'Fine Tuning'!B13/12*'Key Business Variables'!$C30</f>
        <v>0</v>
      </c>
      <c r="C43" s="66">
        <f>'Fine Tuning'!C13/12*'Key Business Variables'!$C30</f>
        <v>0</v>
      </c>
      <c r="D43" s="66">
        <f>'Fine Tuning'!D13/12*'Key Business Variables'!$C30</f>
        <v>0</v>
      </c>
      <c r="E43" s="66">
        <f>'Fine Tuning'!E13/12*'Key Business Variables'!$C30</f>
        <v>0</v>
      </c>
      <c r="F43" s="66">
        <f>'Fine Tuning'!F13/12*'Key Business Variables'!$C30</f>
        <v>0</v>
      </c>
      <c r="G43" s="66">
        <f>'Fine Tuning'!G13/12*'Key Business Variables'!$C30</f>
        <v>0</v>
      </c>
      <c r="H43" s="66">
        <f>'Fine Tuning'!H13/12*'Key Business Variables'!$C30</f>
        <v>0</v>
      </c>
      <c r="I43" s="66">
        <f>'Fine Tuning'!I13/12*'Key Business Variables'!$C30</f>
        <v>0</v>
      </c>
      <c r="J43" s="66">
        <f>'Fine Tuning'!J13/12*'Key Business Variables'!$C30</f>
        <v>0</v>
      </c>
      <c r="K43" s="66">
        <f>'Fine Tuning'!K13/12*'Key Business Variables'!$C30</f>
        <v>0</v>
      </c>
      <c r="L43" s="66">
        <f>'Fine Tuning'!L13/12*'Key Business Variables'!$C30</f>
        <v>0</v>
      </c>
      <c r="M43" s="66">
        <f>'Fine Tuning'!M13/12*'Key Business Variables'!$C30</f>
        <v>0</v>
      </c>
      <c r="N43" s="66">
        <f>'Fine Tuning'!N13/12*'Key Business Variables'!$C30</f>
        <v>0</v>
      </c>
      <c r="O43" s="66">
        <f>'Fine Tuning'!O13/12*'Key Business Variables'!$C30</f>
        <v>0</v>
      </c>
      <c r="P43" s="66">
        <f>'Fine Tuning'!P13/12*'Key Business Variables'!$C30</f>
        <v>0</v>
      </c>
      <c r="Q43" s="66">
        <f>'Fine Tuning'!Q13/12*'Key Business Variables'!$C30</f>
        <v>0</v>
      </c>
      <c r="R43" s="66">
        <f>'Fine Tuning'!R13/12*'Key Business Variables'!$C30</f>
        <v>0</v>
      </c>
      <c r="S43" s="66">
        <f>'Fine Tuning'!S13/12*'Key Business Variables'!$C30</f>
        <v>0</v>
      </c>
      <c r="T43" s="66">
        <f>'Fine Tuning'!T13/12*'Key Business Variables'!$C30</f>
        <v>0</v>
      </c>
      <c r="U43" s="66">
        <f>'Fine Tuning'!U13/12*'Key Business Variables'!$C30</f>
        <v>0</v>
      </c>
      <c r="V43" s="66">
        <f>'Fine Tuning'!V13/12*'Key Business Variables'!$C30</f>
        <v>0</v>
      </c>
      <c r="W43" s="66">
        <f>'Fine Tuning'!W13/12*'Key Business Variables'!$C30</f>
        <v>0</v>
      </c>
      <c r="X43" s="66">
        <f>'Fine Tuning'!X13/12*'Key Business Variables'!$C30</f>
        <v>0</v>
      </c>
      <c r="Y43" s="66">
        <f>'Fine Tuning'!Y13/12*'Key Business Variables'!$C30</f>
        <v>0</v>
      </c>
      <c r="Z43" s="66">
        <f>'Fine Tuning'!Z13/12*'Key Business Variables'!$C30</f>
        <v>0</v>
      </c>
      <c r="AA43" s="66">
        <f>'Fine Tuning'!AA13/12*'Key Business Variables'!$C30</f>
        <v>0</v>
      </c>
      <c r="AB43" s="66">
        <f>'Fine Tuning'!AB13/12*'Key Business Variables'!$C30</f>
        <v>0</v>
      </c>
      <c r="AC43" s="66">
        <f>'Fine Tuning'!AC13/12*'Key Business Variables'!$C30</f>
        <v>0</v>
      </c>
      <c r="AD43" s="66">
        <f>'Fine Tuning'!AD13/12*'Key Business Variables'!$C30</f>
        <v>0</v>
      </c>
      <c r="AE43" s="66">
        <f>'Fine Tuning'!AE13/12*'Key Business Variables'!$C30</f>
        <v>0</v>
      </c>
      <c r="AF43" s="66">
        <f>'Fine Tuning'!AF13/12*'Key Business Variables'!$C30</f>
        <v>0</v>
      </c>
      <c r="AG43" s="66">
        <f>'Fine Tuning'!AG13/12*'Key Business Variables'!$C30</f>
        <v>0</v>
      </c>
      <c r="AH43" s="66">
        <f>'Fine Tuning'!AH13/12*'Key Business Variables'!$C30</f>
        <v>0</v>
      </c>
      <c r="AI43" s="66">
        <f>'Fine Tuning'!AI13/12*'Key Business Variables'!$C30</f>
        <v>0</v>
      </c>
      <c r="AJ43" s="66">
        <f>'Fine Tuning'!AJ13/12*'Key Business Variables'!$C30</f>
        <v>0</v>
      </c>
      <c r="AK43" s="66">
        <f>'Fine Tuning'!AK13/12*'Key Business Variables'!$C30</f>
        <v>0</v>
      </c>
      <c r="AL43" s="66">
        <f>'Fine Tuning'!AL13/12*'Key Business Variables'!$C30</f>
        <v>0</v>
      </c>
      <c r="AM43" s="66">
        <f>'Fine Tuning'!AM13/12*'Key Business Variables'!$C30</f>
        <v>0</v>
      </c>
      <c r="AN43" s="66">
        <f>'Fine Tuning'!AN13/12*'Key Business Variables'!$C30</f>
        <v>0</v>
      </c>
      <c r="AO43" s="66">
        <f>'Fine Tuning'!AO13/12*'Key Business Variables'!$C30</f>
        <v>0</v>
      </c>
      <c r="AP43" s="66">
        <f>'Fine Tuning'!AP13/12*'Key Business Variables'!$C30</f>
        <v>0</v>
      </c>
      <c r="AQ43" s="66">
        <f>'Fine Tuning'!AQ13/12*'Key Business Variables'!$C30</f>
        <v>0</v>
      </c>
      <c r="AR43" s="66">
        <f>'Fine Tuning'!AR13/12*'Key Business Variables'!$C30</f>
        <v>0</v>
      </c>
      <c r="AS43" s="66">
        <f>'Fine Tuning'!AS13/12*'Key Business Variables'!$C30</f>
        <v>0</v>
      </c>
      <c r="AT43" s="66">
        <f>'Fine Tuning'!AT13/12*'Key Business Variables'!$C30</f>
        <v>0</v>
      </c>
      <c r="AU43" s="66">
        <f>'Fine Tuning'!AU13/12*'Key Business Variables'!$C30</f>
        <v>0</v>
      </c>
      <c r="AV43" s="66">
        <f>'Fine Tuning'!AV13/12*'Key Business Variables'!$C30</f>
        <v>0</v>
      </c>
      <c r="AW43" s="66">
        <f>'Fine Tuning'!AW13/12*'Key Business Variables'!$C30</f>
        <v>0</v>
      </c>
    </row>
    <row r="44" spans="1:51" hidden="1" x14ac:dyDescent="0.6">
      <c r="A44" s="61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</row>
    <row r="45" spans="1:51" s="68" customFormat="1" hidden="1" x14ac:dyDescent="0.6">
      <c r="A45" s="68" t="s">
        <v>199</v>
      </c>
      <c r="B45" s="69">
        <f>'Fine Tuning'!B4*$J$77*'Key Business Variables'!$F$16</f>
        <v>1723.5</v>
      </c>
      <c r="C45" s="69">
        <f>'Fine Tuning'!C4*$J$77*'Key Business Variables'!$F$16</f>
        <v>1723.5</v>
      </c>
      <c r="D45" s="69">
        <f>'Fine Tuning'!D4*$J$77*'Key Business Variables'!$F$16</f>
        <v>1723.5</v>
      </c>
      <c r="E45" s="69">
        <f>'Fine Tuning'!E4*$J$77*'Key Business Variables'!$F$16</f>
        <v>1723.5</v>
      </c>
      <c r="F45" s="69">
        <f>'Fine Tuning'!F4*$J$77*'Key Business Variables'!$F$16</f>
        <v>1723.5</v>
      </c>
      <c r="G45" s="69">
        <f>'Fine Tuning'!G4*$J$77*'Key Business Variables'!$F$16</f>
        <v>1723.5</v>
      </c>
      <c r="H45" s="69">
        <f>'Fine Tuning'!H4*$J$77*'Key Business Variables'!$F$16</f>
        <v>1723.5</v>
      </c>
      <c r="I45" s="69">
        <f>'Fine Tuning'!I4*$J$77*'Key Business Variables'!$F$16</f>
        <v>1723.5</v>
      </c>
      <c r="J45" s="69">
        <f>'Fine Tuning'!J4*$J$77*'Key Business Variables'!$F$16</f>
        <v>1723.5</v>
      </c>
      <c r="K45" s="69">
        <f>'Fine Tuning'!K4*$J$77*'Key Business Variables'!$F$16</f>
        <v>1723.5</v>
      </c>
      <c r="L45" s="69">
        <f>'Fine Tuning'!L4*$J$77*'Key Business Variables'!$F$16</f>
        <v>1723.5</v>
      </c>
      <c r="M45" s="69">
        <f>'Fine Tuning'!M4*$J$77*'Key Business Variables'!$F$16</f>
        <v>1723.5</v>
      </c>
      <c r="N45" s="69">
        <f>('Fine Tuning'!N4*$J$77*'Key Business Variables'!$F$16)+(B4*$K$77*'Key Business Variables'!$J$16)</f>
        <v>1856.7</v>
      </c>
      <c r="O45" s="69">
        <f>('Fine Tuning'!O4*$J$77*'Key Business Variables'!$F$16)+(C4*$K$77*'Key Business Variables'!$J$16)</f>
        <v>1989.9</v>
      </c>
      <c r="P45" s="69">
        <f>('Fine Tuning'!P4*$J$77*'Key Business Variables'!$F$16)+(D4*$K$77*'Key Business Variables'!$J$16)</f>
        <v>2123.1</v>
      </c>
      <c r="Q45" s="69">
        <f>('Fine Tuning'!Q4*$J$77*'Key Business Variables'!$F$16)+(E4*$K$77*'Key Business Variables'!$J$16)</f>
        <v>2256.3000000000002</v>
      </c>
      <c r="R45" s="69">
        <f>('Fine Tuning'!R4*$J$77*'Key Business Variables'!$F$16)+(F4*$K$77*'Key Business Variables'!$J$16)</f>
        <v>2389.5</v>
      </c>
      <c r="S45" s="69">
        <f>('Fine Tuning'!S4*$J$77*'Key Business Variables'!$F$16)+(G4*$K$77*'Key Business Variables'!$J$16)</f>
        <v>2522.6999999999998</v>
      </c>
      <c r="T45" s="69">
        <f>('Fine Tuning'!T4*$J$77*'Key Business Variables'!$F$16)+(H4*$K$77*'Key Business Variables'!$J$16)</f>
        <v>2655.9</v>
      </c>
      <c r="U45" s="69">
        <f>('Fine Tuning'!U4*$J$77*'Key Business Variables'!$F$16)+(I4*$K$77*'Key Business Variables'!$J$16)</f>
        <v>2789.1</v>
      </c>
      <c r="V45" s="69">
        <f>('Fine Tuning'!V4*$J$77*'Key Business Variables'!$F$16)+(J4*$K$77*'Key Business Variables'!$J$16)</f>
        <v>2922.3</v>
      </c>
      <c r="W45" s="69">
        <f>('Fine Tuning'!W4*$J$77*'Key Business Variables'!$F$16)+(K4*$K$77*'Key Business Variables'!$J$16)</f>
        <v>3055.5</v>
      </c>
      <c r="X45" s="69">
        <f>('Fine Tuning'!X4*$J$77*'Key Business Variables'!$F$16)+(L4*$K$77*'Key Business Variables'!$J$16)</f>
        <v>3188.7</v>
      </c>
      <c r="Y45" s="69">
        <f>('Fine Tuning'!Y4*$J$77*'Key Business Variables'!$F$16)+(M4*$K$77*'Key Business Variables'!$J$16)</f>
        <v>3321.9</v>
      </c>
      <c r="Z45" s="69">
        <f>('Fine Tuning'!Z4*$J$77*'Key Business Variables'!$F$16)+(N4*$K$77*'Key Business Variables'!$J$16)</f>
        <v>3448.44</v>
      </c>
      <c r="AA45" s="69">
        <f>('Fine Tuning'!AA4*$J$77*'Key Business Variables'!$F$16)+(O4*$K$77*'Key Business Variables'!$J$16)</f>
        <v>3574.98</v>
      </c>
      <c r="AB45" s="69">
        <f>('Fine Tuning'!AB4*$J$77*'Key Business Variables'!$F$16)+(P4*$K$77*'Key Business Variables'!$J$16)</f>
        <v>3701.52</v>
      </c>
      <c r="AC45" s="69">
        <f>('Fine Tuning'!AC4*$J$77*'Key Business Variables'!$F$16)+(Q4*$K$77*'Key Business Variables'!$J$16)</f>
        <v>3828.06</v>
      </c>
      <c r="AD45" s="69">
        <f>('Fine Tuning'!AD4*$J$77*'Key Business Variables'!$F$16)+(R4*$K$77*'Key Business Variables'!$J$16)</f>
        <v>3954.6</v>
      </c>
      <c r="AE45" s="69">
        <f>('Fine Tuning'!AE4*$J$77*'Key Business Variables'!$F$16)+(S4*$K$77*'Key Business Variables'!$J$16)</f>
        <v>4081.14</v>
      </c>
      <c r="AF45" s="69">
        <f>('Fine Tuning'!AF4*$J$77*'Key Business Variables'!$F$16)+(T4*$K$77*'Key Business Variables'!$J$16)</f>
        <v>4207.68</v>
      </c>
      <c r="AG45" s="69">
        <f>('Fine Tuning'!AG4*$J$77*'Key Business Variables'!$F$16)+(U4*$K$77*'Key Business Variables'!$J$16)</f>
        <v>4334.22</v>
      </c>
      <c r="AH45" s="69">
        <f>('Fine Tuning'!AH4*$J$77*'Key Business Variables'!$F$16)+(V4*$K$77*'Key Business Variables'!$J$16)</f>
        <v>4460.76</v>
      </c>
      <c r="AI45" s="69">
        <f>('Fine Tuning'!AI4*$J$77*'Key Business Variables'!$F$16)+(W4*$K$77*'Key Business Variables'!$J$16)</f>
        <v>4587.3</v>
      </c>
      <c r="AJ45" s="69">
        <f>('Fine Tuning'!AJ4*$J$77*'Key Business Variables'!$F$16)+(X4*$K$77*'Key Business Variables'!$J$16)</f>
        <v>4713.84</v>
      </c>
      <c r="AK45" s="69">
        <f>('Fine Tuning'!AK4*$J$77*'Key Business Variables'!$F$16)+(Y4*$K$77*'Key Business Variables'!$J$16)</f>
        <v>4840.38</v>
      </c>
      <c r="AL45" s="69">
        <f>('Fine Tuning'!AL4*$J$77*'Key Business Variables'!$F$16)+(Z4*$K$77*'Key Business Variables'!$J$16)</f>
        <v>4966.92</v>
      </c>
      <c r="AM45" s="69">
        <f>('Fine Tuning'!AM4*$J$77*'Key Business Variables'!$F$16)+(AA4*$K$77*'Key Business Variables'!$J$16)</f>
        <v>5093.46</v>
      </c>
      <c r="AN45" s="69">
        <f>('Fine Tuning'!AN4*$J$77*'Key Business Variables'!$F$16)+(AB4*$K$77*'Key Business Variables'!$J$16)</f>
        <v>5220</v>
      </c>
      <c r="AO45" s="69">
        <f>('Fine Tuning'!AO4*$J$77*'Key Business Variables'!$F$16)+(AC4*$K$77*'Key Business Variables'!$J$16)</f>
        <v>5346.54</v>
      </c>
      <c r="AP45" s="69">
        <f>('Fine Tuning'!AP4*$J$77*'Key Business Variables'!$F$16)+(AD4*$K$77*'Key Business Variables'!$J$16)</f>
        <v>5473.08</v>
      </c>
      <c r="AQ45" s="69">
        <f>('Fine Tuning'!AQ4*$J$77*'Key Business Variables'!$F$16)+(AE4*$K$77*'Key Business Variables'!$J$16)</f>
        <v>5599.62</v>
      </c>
      <c r="AR45" s="69">
        <f>('Fine Tuning'!AR4*$J$77*'Key Business Variables'!$F$16)+(AF4*$K$77*'Key Business Variables'!$J$16)</f>
        <v>5726.16</v>
      </c>
      <c r="AS45" s="69">
        <f>('Fine Tuning'!AS4*$J$77*'Key Business Variables'!$F$16)+(AG4*$K$77*'Key Business Variables'!$J$16)</f>
        <v>5852.7</v>
      </c>
      <c r="AT45" s="69">
        <f>('Fine Tuning'!AT4*$J$77*'Key Business Variables'!$F$16)+(AH4*$K$77*'Key Business Variables'!$J$16)</f>
        <v>5979.24</v>
      </c>
      <c r="AU45" s="69">
        <f>('Fine Tuning'!AU4*$J$77*'Key Business Variables'!$F$16)+(AI4*$K$77*'Key Business Variables'!$J$16)</f>
        <v>6105.78</v>
      </c>
      <c r="AV45" s="69">
        <f>('Fine Tuning'!AV4*$J$77*'Key Business Variables'!$F$16)+(AJ4*$K$77*'Key Business Variables'!$J$16)</f>
        <v>6232.32</v>
      </c>
      <c r="AW45" s="69">
        <f>('Fine Tuning'!AW4*$J$77*'Key Business Variables'!$F$16)+(AK4*$K$77*'Key Business Variables'!$J$16)</f>
        <v>6358.86</v>
      </c>
    </row>
    <row r="46" spans="1:51" s="68" customFormat="1" hidden="1" x14ac:dyDescent="0.6">
      <c r="A46" s="68" t="s">
        <v>200</v>
      </c>
      <c r="B46" s="69">
        <f>'Fine Tuning'!B6*$J$88*'Key Business Variables'!$F$16</f>
        <v>331.76</v>
      </c>
      <c r="C46" s="69">
        <f>'Fine Tuning'!C6*$J$88*'Key Business Variables'!$F$16</f>
        <v>331.76</v>
      </c>
      <c r="D46" s="69">
        <f>'Fine Tuning'!D6*$J$88*'Key Business Variables'!$F$16</f>
        <v>331.76</v>
      </c>
      <c r="E46" s="69">
        <f>'Fine Tuning'!E6*$J$88*'Key Business Variables'!$F$16</f>
        <v>331.76</v>
      </c>
      <c r="F46" s="69">
        <f>'Fine Tuning'!F6*$J$88*'Key Business Variables'!$F$16</f>
        <v>331.76</v>
      </c>
      <c r="G46" s="69">
        <f>'Fine Tuning'!G6*$J$88*'Key Business Variables'!$F$16</f>
        <v>331.76</v>
      </c>
      <c r="H46" s="69">
        <f>'Fine Tuning'!H6*$J$88*'Key Business Variables'!$F$16</f>
        <v>331.76</v>
      </c>
      <c r="I46" s="69">
        <f>'Fine Tuning'!I6*$J$88*'Key Business Variables'!$F$16</f>
        <v>331.76</v>
      </c>
      <c r="J46" s="69">
        <f>'Fine Tuning'!J6*$J$88*'Key Business Variables'!$F$16</f>
        <v>331.76</v>
      </c>
      <c r="K46" s="69">
        <f>'Fine Tuning'!K6*$J$88*'Key Business Variables'!$F$16</f>
        <v>331.76</v>
      </c>
      <c r="L46" s="69">
        <f>'Fine Tuning'!L6*$J$88*'Key Business Variables'!$F$16</f>
        <v>331.76</v>
      </c>
      <c r="M46" s="69">
        <f>'Fine Tuning'!M6*$J$88*'Key Business Variables'!$F$16</f>
        <v>331.76</v>
      </c>
      <c r="N46" s="69">
        <f>('Fine Tuning'!N6*$J$88*'Key Business Variables'!$F$16)+(B5*$K$88*'Key Business Variables'!$J$16)</f>
        <v>398.11199999999997</v>
      </c>
      <c r="O46" s="69">
        <f>('Fine Tuning'!O6*$J$88*'Key Business Variables'!$F$16)+(C5*$K$88*'Key Business Variables'!$J$16)</f>
        <v>464.46399999999994</v>
      </c>
      <c r="P46" s="69">
        <f>('Fine Tuning'!P6*$J$88*'Key Business Variables'!$F$16)+(D5*$K$88*'Key Business Variables'!$J$16)</f>
        <v>530.81599999999992</v>
      </c>
      <c r="Q46" s="69">
        <f>('Fine Tuning'!Q6*$J$88*'Key Business Variables'!$F$16)+(E5*$K$88*'Key Business Variables'!$J$16)</f>
        <v>597.16799999999989</v>
      </c>
      <c r="R46" s="69">
        <f>('Fine Tuning'!R6*$J$88*'Key Business Variables'!$F$16)+(F5*$K$88*'Key Business Variables'!$J$16)</f>
        <v>663.52</v>
      </c>
      <c r="S46" s="69">
        <f>('Fine Tuning'!S6*$J$88*'Key Business Variables'!$F$16)+(G5*$K$88*'Key Business Variables'!$J$16)</f>
        <v>729.87199999999984</v>
      </c>
      <c r="T46" s="69">
        <f>('Fine Tuning'!T6*$J$88*'Key Business Variables'!$F$16)+(H5*$K$88*'Key Business Variables'!$J$16)</f>
        <v>796.22399999999993</v>
      </c>
      <c r="U46" s="69">
        <f>('Fine Tuning'!U6*$J$88*'Key Business Variables'!$F$16)+(I5*$K$88*'Key Business Variables'!$J$16)</f>
        <v>862.57599999999979</v>
      </c>
      <c r="V46" s="69">
        <f>('Fine Tuning'!V6*$J$88*'Key Business Variables'!$F$16)+(J5*$K$88*'Key Business Variables'!$J$16)</f>
        <v>928.92799999999977</v>
      </c>
      <c r="W46" s="69">
        <f>('Fine Tuning'!W6*$J$88*'Key Business Variables'!$F$16)+(K5*$K$88*'Key Business Variables'!$J$16)</f>
        <v>995.27999999999975</v>
      </c>
      <c r="X46" s="69">
        <f>('Fine Tuning'!X6*$J$88*'Key Business Variables'!$F$16)+(L5*$K$88*'Key Business Variables'!$J$16)</f>
        <v>1061.6319999999998</v>
      </c>
      <c r="Y46" s="69">
        <f>('Fine Tuning'!Y6*$J$88*'Key Business Variables'!$F$16)+(M5*$K$88*'Key Business Variables'!$J$16)</f>
        <v>1127.9839999999999</v>
      </c>
      <c r="Z46" s="69">
        <f>('Fine Tuning'!Z6*$J$88*'Key Business Variables'!$F$16)+(N5*$K$88*'Key Business Variables'!$J$16)</f>
        <v>1191.0183999999999</v>
      </c>
      <c r="AA46" s="69">
        <f>('Fine Tuning'!AA6*$J$88*'Key Business Variables'!$F$16)+(O5*$K$88*'Key Business Variables'!$J$16)</f>
        <v>1254.0527999999999</v>
      </c>
      <c r="AB46" s="69">
        <f>('Fine Tuning'!AB6*$J$88*'Key Business Variables'!$F$16)+(P5*$K$88*'Key Business Variables'!$J$16)</f>
        <v>1317.0871999999999</v>
      </c>
      <c r="AC46" s="69">
        <f>('Fine Tuning'!AC6*$J$88*'Key Business Variables'!$F$16)+(Q5*$K$88*'Key Business Variables'!$J$16)</f>
        <v>1380.1216000000002</v>
      </c>
      <c r="AD46" s="69">
        <f>('Fine Tuning'!AD6*$J$88*'Key Business Variables'!$F$16)+(R5*$K$88*'Key Business Variables'!$J$16)</f>
        <v>1443.1560000000002</v>
      </c>
      <c r="AE46" s="69">
        <f>('Fine Tuning'!AE6*$J$88*'Key Business Variables'!$F$16)+(S5*$K$88*'Key Business Variables'!$J$16)</f>
        <v>1506.1904000000002</v>
      </c>
      <c r="AF46" s="69">
        <f>('Fine Tuning'!AF6*$J$88*'Key Business Variables'!$F$16)+(T5*$K$88*'Key Business Variables'!$J$16)</f>
        <v>1569.2248000000004</v>
      </c>
      <c r="AG46" s="69">
        <f>('Fine Tuning'!AG6*$J$88*'Key Business Variables'!$F$16)+(U5*$K$88*'Key Business Variables'!$J$16)</f>
        <v>1632.2592000000002</v>
      </c>
      <c r="AH46" s="69">
        <f>('Fine Tuning'!AH6*$J$88*'Key Business Variables'!$F$16)+(V5*$K$88*'Key Business Variables'!$J$16)</f>
        <v>1695.2936</v>
      </c>
      <c r="AI46" s="69">
        <f>('Fine Tuning'!AI6*$J$88*'Key Business Variables'!$F$16)+(W5*$K$88*'Key Business Variables'!$J$16)</f>
        <v>1758.3279999999995</v>
      </c>
      <c r="AJ46" s="69">
        <f>('Fine Tuning'!AJ6*$J$88*'Key Business Variables'!$F$16)+(X5*$K$88*'Key Business Variables'!$J$16)</f>
        <v>1821.3623999999995</v>
      </c>
      <c r="AK46" s="69">
        <f>('Fine Tuning'!AK6*$J$88*'Key Business Variables'!$F$16)+(Y5*$K$88*'Key Business Variables'!$J$16)</f>
        <v>1884.3967999999993</v>
      </c>
      <c r="AL46" s="69">
        <f>('Fine Tuning'!AL6*$J$88*'Key Business Variables'!$F$16)+(Z5*$K$88*'Key Business Variables'!$J$16)</f>
        <v>1947.4311999999991</v>
      </c>
      <c r="AM46" s="69">
        <f>('Fine Tuning'!AM6*$J$88*'Key Business Variables'!$F$16)+(AA5*$K$88*'Key Business Variables'!$J$16)</f>
        <v>2010.4655999999989</v>
      </c>
      <c r="AN46" s="69">
        <f>('Fine Tuning'!AN6*$J$88*'Key Business Variables'!$F$16)+(AB5*$K$88*'Key Business Variables'!$J$16)</f>
        <v>2073.4999999999991</v>
      </c>
      <c r="AO46" s="69">
        <f>('Fine Tuning'!AO6*$J$88*'Key Business Variables'!$F$16)+(AC5*$K$88*'Key Business Variables'!$J$16)</f>
        <v>2136.5343999999986</v>
      </c>
      <c r="AP46" s="69">
        <f>('Fine Tuning'!AP6*$J$88*'Key Business Variables'!$F$16)+(AD5*$K$88*'Key Business Variables'!$J$16)</f>
        <v>2199.5687999999982</v>
      </c>
      <c r="AQ46" s="69">
        <f>('Fine Tuning'!AQ6*$J$88*'Key Business Variables'!$F$16)+(AE5*$K$88*'Key Business Variables'!$J$16)</f>
        <v>2262.6031999999977</v>
      </c>
      <c r="AR46" s="69">
        <f>('Fine Tuning'!AR6*$J$88*'Key Business Variables'!$F$16)+(AF5*$K$88*'Key Business Variables'!$J$16)</f>
        <v>2325.6375999999977</v>
      </c>
      <c r="AS46" s="69">
        <f>('Fine Tuning'!AS6*$J$88*'Key Business Variables'!$F$16)+(AG5*$K$88*'Key Business Variables'!$J$16)</f>
        <v>2388.6719999999978</v>
      </c>
      <c r="AT46" s="69">
        <f>('Fine Tuning'!AT6*$J$88*'Key Business Variables'!$F$16)+(AH5*$K$88*'Key Business Variables'!$J$16)</f>
        <v>2451.7063999999973</v>
      </c>
      <c r="AU46" s="69">
        <f>('Fine Tuning'!AU6*$J$88*'Key Business Variables'!$F$16)+(AI5*$K$88*'Key Business Variables'!$J$16)</f>
        <v>2514.7407999999969</v>
      </c>
      <c r="AV46" s="69">
        <f>('Fine Tuning'!AV6*$J$88*'Key Business Variables'!$F$16)+(AJ5*$K$88*'Key Business Variables'!$J$16)</f>
        <v>2577.7751999999973</v>
      </c>
      <c r="AW46" s="69">
        <f>('Fine Tuning'!AW6*$J$88*'Key Business Variables'!$F$16)+(AK5*$K$88*'Key Business Variables'!$J$16)</f>
        <v>2640.8095999999969</v>
      </c>
    </row>
    <row r="47" spans="1:51" s="68" customFormat="1" hidden="1" x14ac:dyDescent="0.6">
      <c r="A47" s="61" t="str">
        <f>'Fine Tuning'!A15</f>
        <v>Business Development Rep</v>
      </c>
      <c r="B47" s="66">
        <f>'Fine Tuning'!B15/12*'Key Business Variables'!$C33</f>
        <v>4166.6666666666661</v>
      </c>
      <c r="C47" s="66">
        <f>'Fine Tuning'!C15/12*'Key Business Variables'!$C33</f>
        <v>4166.6666666666661</v>
      </c>
      <c r="D47" s="66">
        <f>'Fine Tuning'!D15/12*'Key Business Variables'!$C33</f>
        <v>4166.6666666666661</v>
      </c>
      <c r="E47" s="66">
        <f>'Fine Tuning'!E15/12*'Key Business Variables'!$C33</f>
        <v>4166.6666666666661</v>
      </c>
      <c r="F47" s="66">
        <f>'Fine Tuning'!F15/12*'Key Business Variables'!$C33</f>
        <v>4166.6666666666661</v>
      </c>
      <c r="G47" s="66">
        <f>'Fine Tuning'!G15/12*'Key Business Variables'!$C33</f>
        <v>4166.6666666666661</v>
      </c>
      <c r="H47" s="66">
        <f>'Fine Tuning'!H15/12*'Key Business Variables'!$C33</f>
        <v>4166.6666666666661</v>
      </c>
      <c r="I47" s="66">
        <f>'Fine Tuning'!I15/12*'Key Business Variables'!$C33</f>
        <v>4166.6666666666661</v>
      </c>
      <c r="J47" s="66">
        <f>'Fine Tuning'!J15/12*'Key Business Variables'!$C33</f>
        <v>4166.6666666666661</v>
      </c>
      <c r="K47" s="66">
        <f>'Fine Tuning'!K15/12*'Key Business Variables'!$C33</f>
        <v>4166.6666666666661</v>
      </c>
      <c r="L47" s="66">
        <f>'Fine Tuning'!L15/12*'Key Business Variables'!$C33</f>
        <v>4166.6666666666661</v>
      </c>
      <c r="M47" s="66">
        <f>'Fine Tuning'!M15/12*'Key Business Variables'!$C33</f>
        <v>4166.6666666666661</v>
      </c>
      <c r="N47" s="66">
        <f>'Fine Tuning'!N15/12*'Key Business Variables'!$C33</f>
        <v>4166.6666666666661</v>
      </c>
      <c r="O47" s="66">
        <f>'Fine Tuning'!O15/12*'Key Business Variables'!$C33</f>
        <v>4166.6666666666661</v>
      </c>
      <c r="P47" s="66">
        <f>'Fine Tuning'!P15/12*'Key Business Variables'!$C33</f>
        <v>4166.6666666666661</v>
      </c>
      <c r="Q47" s="66">
        <f>'Fine Tuning'!Q15/12*'Key Business Variables'!$C33</f>
        <v>4166.6666666666661</v>
      </c>
      <c r="R47" s="66">
        <f>'Fine Tuning'!R15/12*'Key Business Variables'!$C33</f>
        <v>4166.6666666666661</v>
      </c>
      <c r="S47" s="66">
        <f>'Fine Tuning'!S15/12*'Key Business Variables'!$C33</f>
        <v>4166.6666666666661</v>
      </c>
      <c r="T47" s="66">
        <f>'Fine Tuning'!T15/12*'Key Business Variables'!$C33</f>
        <v>4166.6666666666661</v>
      </c>
      <c r="U47" s="66">
        <f>'Fine Tuning'!U15/12*'Key Business Variables'!$C33</f>
        <v>4166.6666666666661</v>
      </c>
      <c r="V47" s="66">
        <f>'Fine Tuning'!V15/12*'Key Business Variables'!$C33</f>
        <v>4166.6666666666661</v>
      </c>
      <c r="W47" s="66">
        <f>'Fine Tuning'!W15/12*'Key Business Variables'!$C33</f>
        <v>4166.6666666666661</v>
      </c>
      <c r="X47" s="66">
        <f>'Fine Tuning'!X15/12*'Key Business Variables'!$C33</f>
        <v>4166.6666666666661</v>
      </c>
      <c r="Y47" s="66">
        <f>'Fine Tuning'!Y15/12*'Key Business Variables'!$C33</f>
        <v>4166.6666666666661</v>
      </c>
      <c r="Z47" s="66">
        <f>'Fine Tuning'!Z15/12*'Key Business Variables'!$C33</f>
        <v>4166.6666666666661</v>
      </c>
      <c r="AA47" s="66">
        <f>'Fine Tuning'!AA15/12*'Key Business Variables'!$C33</f>
        <v>4166.6666666666661</v>
      </c>
      <c r="AB47" s="66">
        <f>'Fine Tuning'!AB15/12*'Key Business Variables'!$C33</f>
        <v>4166.6666666666661</v>
      </c>
      <c r="AC47" s="66">
        <f>'Fine Tuning'!AC15/12*'Key Business Variables'!$C33</f>
        <v>4166.6666666666661</v>
      </c>
      <c r="AD47" s="66">
        <f>'Fine Tuning'!AD15/12*'Key Business Variables'!$C33</f>
        <v>4166.6666666666661</v>
      </c>
      <c r="AE47" s="66">
        <f>'Fine Tuning'!AE15/12*'Key Business Variables'!$C33</f>
        <v>4166.6666666666661</v>
      </c>
      <c r="AF47" s="66">
        <f>'Fine Tuning'!AF15/12*'Key Business Variables'!$C33</f>
        <v>4166.6666666666661</v>
      </c>
      <c r="AG47" s="66">
        <f>'Fine Tuning'!AG15/12*'Key Business Variables'!$C33</f>
        <v>4166.6666666666661</v>
      </c>
      <c r="AH47" s="66">
        <f>'Fine Tuning'!AH15/12*'Key Business Variables'!$C33</f>
        <v>4166.6666666666661</v>
      </c>
      <c r="AI47" s="66">
        <f>'Fine Tuning'!AI15/12*'Key Business Variables'!$C33</f>
        <v>4166.6666666666661</v>
      </c>
      <c r="AJ47" s="66">
        <f>'Fine Tuning'!AJ15/12*'Key Business Variables'!$C33</f>
        <v>4166.6666666666661</v>
      </c>
      <c r="AK47" s="66">
        <f>'Fine Tuning'!AK15/12*'Key Business Variables'!$C33</f>
        <v>4166.6666666666661</v>
      </c>
      <c r="AL47" s="66">
        <f>'Fine Tuning'!AL15/12*'Key Business Variables'!$C33</f>
        <v>4166.6666666666661</v>
      </c>
      <c r="AM47" s="66">
        <f>'Fine Tuning'!AM15/12*'Key Business Variables'!$C33</f>
        <v>4166.6666666666661</v>
      </c>
      <c r="AN47" s="66">
        <f>'Fine Tuning'!AN15/12*'Key Business Variables'!$C33</f>
        <v>4166.6666666666661</v>
      </c>
      <c r="AO47" s="66">
        <f>'Fine Tuning'!AO15/12*'Key Business Variables'!$C33</f>
        <v>4166.6666666666661</v>
      </c>
      <c r="AP47" s="66">
        <f>'Fine Tuning'!AP15/12*'Key Business Variables'!$C33</f>
        <v>4166.6666666666661</v>
      </c>
      <c r="AQ47" s="66">
        <f>'Fine Tuning'!AQ15/12*'Key Business Variables'!$C33</f>
        <v>4166.6666666666661</v>
      </c>
      <c r="AR47" s="66">
        <f>'Fine Tuning'!AR15/12*'Key Business Variables'!$C33</f>
        <v>4166.6666666666661</v>
      </c>
      <c r="AS47" s="66">
        <f>'Fine Tuning'!AS15/12*'Key Business Variables'!$C33</f>
        <v>4166.6666666666661</v>
      </c>
      <c r="AT47" s="66">
        <f>'Fine Tuning'!AT15/12*'Key Business Variables'!$C33</f>
        <v>4166.6666666666661</v>
      </c>
      <c r="AU47" s="66">
        <f>'Fine Tuning'!AU15/12*'Key Business Variables'!$C33</f>
        <v>4166.6666666666661</v>
      </c>
      <c r="AV47" s="66">
        <f>'Fine Tuning'!AV15/12*'Key Business Variables'!$C33</f>
        <v>4166.6666666666661</v>
      </c>
      <c r="AW47" s="66">
        <f>'Fine Tuning'!AW15/12*'Key Business Variables'!$C33</f>
        <v>4166.6666666666661</v>
      </c>
    </row>
    <row r="48" spans="1:51" s="68" customFormat="1" hidden="1" x14ac:dyDescent="0.6">
      <c r="A48" s="68" t="s">
        <v>195</v>
      </c>
      <c r="B48" s="69">
        <f>'Key Business Variables'!$G$16*'Key Business Variables'!$I$16*'Fine Tuning'!B4</f>
        <v>3125</v>
      </c>
      <c r="C48" s="69">
        <f>'Key Business Variables'!$G$16*'Key Business Variables'!$I$16*'Fine Tuning'!C4</f>
        <v>3125</v>
      </c>
      <c r="D48" s="69">
        <f>'Key Business Variables'!$G$16*'Key Business Variables'!$I$16*'Fine Tuning'!D4</f>
        <v>3125</v>
      </c>
      <c r="E48" s="69">
        <f>'Key Business Variables'!$G$16*'Key Business Variables'!$I$16*'Fine Tuning'!E4</f>
        <v>3125</v>
      </c>
      <c r="F48" s="69">
        <f>'Key Business Variables'!$G$16*'Key Business Variables'!$I$16*'Fine Tuning'!F4</f>
        <v>3125</v>
      </c>
      <c r="G48" s="69">
        <f>'Key Business Variables'!$G$16*'Key Business Variables'!$I$16*'Fine Tuning'!G4</f>
        <v>3125</v>
      </c>
      <c r="H48" s="69">
        <f>'Key Business Variables'!$G$16*'Key Business Variables'!$I$16*'Fine Tuning'!H4</f>
        <v>3125</v>
      </c>
      <c r="I48" s="69">
        <f>'Key Business Variables'!$G$16*'Key Business Variables'!$I$16*'Fine Tuning'!I4</f>
        <v>3125</v>
      </c>
      <c r="J48" s="69">
        <f>'Key Business Variables'!$G$16*'Key Business Variables'!$I$16*'Fine Tuning'!J4</f>
        <v>3125</v>
      </c>
      <c r="K48" s="69">
        <f>'Key Business Variables'!$G$16*'Key Business Variables'!$I$16*'Fine Tuning'!K4</f>
        <v>3125</v>
      </c>
      <c r="L48" s="69">
        <f>'Key Business Variables'!$G$16*'Key Business Variables'!$I$16*'Fine Tuning'!L4</f>
        <v>3125</v>
      </c>
      <c r="M48" s="69">
        <f>'Key Business Variables'!$G$16*'Key Business Variables'!$I$16*'Fine Tuning'!M4</f>
        <v>3125</v>
      </c>
      <c r="N48" s="69">
        <f>'Key Business Variables'!$G$16*'Key Business Variables'!$I$16*'Fine Tuning'!N4</f>
        <v>3125</v>
      </c>
      <c r="O48" s="69">
        <f>'Key Business Variables'!$G$16*'Key Business Variables'!$I$16*'Fine Tuning'!O4</f>
        <v>3125</v>
      </c>
      <c r="P48" s="69">
        <f>'Key Business Variables'!$G$16*'Key Business Variables'!$I$16*'Fine Tuning'!P4</f>
        <v>3125</v>
      </c>
      <c r="Q48" s="69">
        <f>'Key Business Variables'!$G$16*'Key Business Variables'!$I$16*'Fine Tuning'!Q4</f>
        <v>3125</v>
      </c>
      <c r="R48" s="69">
        <f>'Key Business Variables'!$G$16*'Key Business Variables'!$I$16*'Fine Tuning'!R4</f>
        <v>3125</v>
      </c>
      <c r="S48" s="69">
        <f>'Key Business Variables'!$G$16*'Key Business Variables'!$I$16*'Fine Tuning'!S4</f>
        <v>3125</v>
      </c>
      <c r="T48" s="69">
        <f>'Key Business Variables'!$G$16*'Key Business Variables'!$I$16*'Fine Tuning'!T4</f>
        <v>3125</v>
      </c>
      <c r="U48" s="69">
        <f>'Key Business Variables'!$G$16*'Key Business Variables'!$I$16*'Fine Tuning'!U4</f>
        <v>3125</v>
      </c>
      <c r="V48" s="69">
        <f>'Key Business Variables'!$G$16*'Key Business Variables'!$I$16*'Fine Tuning'!V4</f>
        <v>3125</v>
      </c>
      <c r="W48" s="69">
        <f>'Key Business Variables'!$G$16*'Key Business Variables'!$I$16*'Fine Tuning'!W4</f>
        <v>3125</v>
      </c>
      <c r="X48" s="69">
        <f>'Key Business Variables'!$G$16*'Key Business Variables'!$I$16*'Fine Tuning'!X4</f>
        <v>3125</v>
      </c>
      <c r="Y48" s="69">
        <f>'Key Business Variables'!$G$16*'Key Business Variables'!$I$16*'Fine Tuning'!Y4</f>
        <v>3125</v>
      </c>
      <c r="Z48" s="69">
        <f>'Key Business Variables'!$G$16*'Key Business Variables'!$I$16*'Fine Tuning'!Z4</f>
        <v>3125</v>
      </c>
      <c r="AA48" s="69">
        <f>'Key Business Variables'!$G$16*'Key Business Variables'!$I$16*'Fine Tuning'!AA4</f>
        <v>3125</v>
      </c>
      <c r="AB48" s="69">
        <f>'Key Business Variables'!$G$16*'Key Business Variables'!$I$16*'Fine Tuning'!AB4</f>
        <v>3125</v>
      </c>
      <c r="AC48" s="69">
        <f>'Key Business Variables'!$G$16*'Key Business Variables'!$I$16*'Fine Tuning'!AC4</f>
        <v>3125</v>
      </c>
      <c r="AD48" s="69">
        <f>'Key Business Variables'!$G$16*'Key Business Variables'!$I$16*'Fine Tuning'!AD4</f>
        <v>3125</v>
      </c>
      <c r="AE48" s="69">
        <f>'Key Business Variables'!$G$16*'Key Business Variables'!$I$16*'Fine Tuning'!AE4</f>
        <v>3125</v>
      </c>
      <c r="AF48" s="69">
        <f>'Key Business Variables'!$G$16*'Key Business Variables'!$I$16*'Fine Tuning'!AF4</f>
        <v>3125</v>
      </c>
      <c r="AG48" s="69">
        <f>'Key Business Variables'!$G$16*'Key Business Variables'!$I$16*'Fine Tuning'!AG4</f>
        <v>3125</v>
      </c>
      <c r="AH48" s="69">
        <f>'Key Business Variables'!$G$16*'Key Business Variables'!$I$16*'Fine Tuning'!AH4</f>
        <v>3125</v>
      </c>
      <c r="AI48" s="69">
        <f>'Key Business Variables'!$G$16*'Key Business Variables'!$I$16*'Fine Tuning'!AI4</f>
        <v>3125</v>
      </c>
      <c r="AJ48" s="69">
        <f>'Key Business Variables'!$G$16*'Key Business Variables'!$I$16*'Fine Tuning'!AJ4</f>
        <v>3125</v>
      </c>
      <c r="AK48" s="69">
        <f>'Key Business Variables'!$G$16*'Key Business Variables'!$I$16*'Fine Tuning'!AK4</f>
        <v>3125</v>
      </c>
      <c r="AL48" s="69">
        <f>'Key Business Variables'!$G$16*'Key Business Variables'!$I$16*'Fine Tuning'!AL4</f>
        <v>3125</v>
      </c>
      <c r="AM48" s="69">
        <f>'Key Business Variables'!$G$16*'Key Business Variables'!$I$16*'Fine Tuning'!AM4</f>
        <v>3125</v>
      </c>
      <c r="AN48" s="69">
        <f>'Key Business Variables'!$G$16*'Key Business Variables'!$I$16*'Fine Tuning'!AN4</f>
        <v>3125</v>
      </c>
      <c r="AO48" s="69">
        <f>'Key Business Variables'!$G$16*'Key Business Variables'!$I$16*'Fine Tuning'!AO4</f>
        <v>3125</v>
      </c>
      <c r="AP48" s="69">
        <f>'Key Business Variables'!$G$16*'Key Business Variables'!$I$16*'Fine Tuning'!AP4</f>
        <v>3125</v>
      </c>
      <c r="AQ48" s="69">
        <f>'Key Business Variables'!$G$16*'Key Business Variables'!$I$16*'Fine Tuning'!AQ4</f>
        <v>3125</v>
      </c>
      <c r="AR48" s="69">
        <f>'Key Business Variables'!$G$16*'Key Business Variables'!$I$16*'Fine Tuning'!AR4</f>
        <v>3125</v>
      </c>
      <c r="AS48" s="69">
        <f>'Key Business Variables'!$G$16*'Key Business Variables'!$I$16*'Fine Tuning'!AS4</f>
        <v>3125</v>
      </c>
      <c r="AT48" s="69">
        <f>'Key Business Variables'!$G$16*'Key Business Variables'!$I$16*'Fine Tuning'!AT4</f>
        <v>3125</v>
      </c>
      <c r="AU48" s="69">
        <f>'Key Business Variables'!$G$16*'Key Business Variables'!$I$16*'Fine Tuning'!AU4</f>
        <v>3125</v>
      </c>
      <c r="AV48" s="69">
        <f>'Key Business Variables'!$G$16*'Key Business Variables'!$I$16*'Fine Tuning'!AV4</f>
        <v>3125</v>
      </c>
      <c r="AW48" s="69">
        <f>'Key Business Variables'!$G$16*'Key Business Variables'!$I$16*'Fine Tuning'!AW4</f>
        <v>3125</v>
      </c>
      <c r="AX48" s="69">
        <f>SUM(B48:AW48)</f>
        <v>150000</v>
      </c>
      <c r="AY48" s="70">
        <f>AX48/SUM(AX24:AX30)</f>
        <v>0.15787529989991961</v>
      </c>
    </row>
    <row r="49" spans="1:51" s="68" customFormat="1" hidden="1" x14ac:dyDescent="0.6">
      <c r="A49" s="61" t="str">
        <f>'Fine Tuning'!A16</f>
        <v>Demand Generation Marketing</v>
      </c>
      <c r="B49" s="66">
        <f>'Fine Tuning'!B16/12*'Key Business Variables'!$C34</f>
        <v>0</v>
      </c>
      <c r="C49" s="66">
        <f>'Fine Tuning'!C16/12*'Key Business Variables'!$C34</f>
        <v>0</v>
      </c>
      <c r="D49" s="66">
        <f>'Fine Tuning'!D16/12*'Key Business Variables'!$C34</f>
        <v>0</v>
      </c>
      <c r="E49" s="66">
        <f>'Fine Tuning'!E16/12*'Key Business Variables'!$C34</f>
        <v>0</v>
      </c>
      <c r="F49" s="66">
        <f>'Fine Tuning'!F16/12*'Key Business Variables'!$C34</f>
        <v>0</v>
      </c>
      <c r="G49" s="66">
        <f>'Fine Tuning'!G16/12*'Key Business Variables'!$C34</f>
        <v>0</v>
      </c>
      <c r="H49" s="66">
        <f>'Fine Tuning'!H16/12*'Key Business Variables'!$C34</f>
        <v>0</v>
      </c>
      <c r="I49" s="66">
        <f>'Fine Tuning'!I16/12*'Key Business Variables'!$C34</f>
        <v>0</v>
      </c>
      <c r="J49" s="66">
        <f>'Fine Tuning'!J16/12*'Key Business Variables'!$C34</f>
        <v>0</v>
      </c>
      <c r="K49" s="66">
        <f>'Fine Tuning'!K16/12*'Key Business Variables'!$C34</f>
        <v>0</v>
      </c>
      <c r="L49" s="66">
        <f>'Fine Tuning'!L16/12*'Key Business Variables'!$C34</f>
        <v>0</v>
      </c>
      <c r="M49" s="66">
        <f>'Fine Tuning'!M16/12*'Key Business Variables'!$C34</f>
        <v>0</v>
      </c>
      <c r="N49" s="66">
        <f>'Fine Tuning'!N16/12*'Key Business Variables'!$C34</f>
        <v>0</v>
      </c>
      <c r="O49" s="66">
        <f>'Fine Tuning'!O16/12*'Key Business Variables'!$C34</f>
        <v>0</v>
      </c>
      <c r="P49" s="66">
        <f>'Fine Tuning'!P16/12*'Key Business Variables'!$C34</f>
        <v>0</v>
      </c>
      <c r="Q49" s="66">
        <f>'Fine Tuning'!Q16/12*'Key Business Variables'!$C34</f>
        <v>0</v>
      </c>
      <c r="R49" s="66">
        <f>'Fine Tuning'!R16/12*'Key Business Variables'!$C34</f>
        <v>0</v>
      </c>
      <c r="S49" s="66">
        <f>'Fine Tuning'!S16/12*'Key Business Variables'!$C34</f>
        <v>0</v>
      </c>
      <c r="T49" s="66">
        <f>'Fine Tuning'!T16/12*'Key Business Variables'!$C34</f>
        <v>0</v>
      </c>
      <c r="U49" s="66">
        <f>'Fine Tuning'!U16/12*'Key Business Variables'!$C34</f>
        <v>0</v>
      </c>
      <c r="V49" s="66">
        <f>'Fine Tuning'!V16/12*'Key Business Variables'!$C34</f>
        <v>0</v>
      </c>
      <c r="W49" s="66">
        <f>'Fine Tuning'!W16/12*'Key Business Variables'!$C34</f>
        <v>0</v>
      </c>
      <c r="X49" s="66">
        <f>'Fine Tuning'!X16/12*'Key Business Variables'!$C34</f>
        <v>0</v>
      </c>
      <c r="Y49" s="66">
        <f>'Fine Tuning'!Y16/12*'Key Business Variables'!$C34</f>
        <v>0</v>
      </c>
      <c r="Z49" s="66">
        <f>'Fine Tuning'!Z16/12*'Key Business Variables'!$C34</f>
        <v>0</v>
      </c>
      <c r="AA49" s="66">
        <f>'Fine Tuning'!AA16/12*'Key Business Variables'!$C34</f>
        <v>0</v>
      </c>
      <c r="AB49" s="66">
        <f>'Fine Tuning'!AB16/12*'Key Business Variables'!$C34</f>
        <v>0</v>
      </c>
      <c r="AC49" s="66">
        <f>'Fine Tuning'!AC16/12*'Key Business Variables'!$C34</f>
        <v>0</v>
      </c>
      <c r="AD49" s="66">
        <f>'Fine Tuning'!AD16/12*'Key Business Variables'!$C34</f>
        <v>0</v>
      </c>
      <c r="AE49" s="66">
        <f>'Fine Tuning'!AE16/12*'Key Business Variables'!$C34</f>
        <v>0</v>
      </c>
      <c r="AF49" s="66">
        <f>'Fine Tuning'!AF16/12*'Key Business Variables'!$C34</f>
        <v>0</v>
      </c>
      <c r="AG49" s="66">
        <f>'Fine Tuning'!AG16/12*'Key Business Variables'!$C34</f>
        <v>0</v>
      </c>
      <c r="AH49" s="66">
        <f>'Fine Tuning'!AH16/12*'Key Business Variables'!$C34</f>
        <v>0</v>
      </c>
      <c r="AI49" s="66">
        <f>'Fine Tuning'!AI16/12*'Key Business Variables'!$C34</f>
        <v>0</v>
      </c>
      <c r="AJ49" s="66">
        <f>'Fine Tuning'!AJ16/12*'Key Business Variables'!$C34</f>
        <v>0</v>
      </c>
      <c r="AK49" s="66">
        <f>'Fine Tuning'!AK16/12*'Key Business Variables'!$C34</f>
        <v>0</v>
      </c>
      <c r="AL49" s="66">
        <f>'Fine Tuning'!AL16/12*'Key Business Variables'!$C34</f>
        <v>0</v>
      </c>
      <c r="AM49" s="66">
        <f>'Fine Tuning'!AM16/12*'Key Business Variables'!$C34</f>
        <v>0</v>
      </c>
      <c r="AN49" s="66">
        <f>'Fine Tuning'!AN16/12*'Key Business Variables'!$C34</f>
        <v>0</v>
      </c>
      <c r="AO49" s="66">
        <f>'Fine Tuning'!AO16/12*'Key Business Variables'!$C34</f>
        <v>0</v>
      </c>
      <c r="AP49" s="66">
        <f>'Fine Tuning'!AP16/12*'Key Business Variables'!$C34</f>
        <v>0</v>
      </c>
      <c r="AQ49" s="66">
        <f>'Fine Tuning'!AQ16/12*'Key Business Variables'!$C34</f>
        <v>0</v>
      </c>
      <c r="AR49" s="66">
        <f>'Fine Tuning'!AR16/12*'Key Business Variables'!$C34</f>
        <v>0</v>
      </c>
      <c r="AS49" s="66">
        <f>'Fine Tuning'!AS16/12*'Key Business Variables'!$C34</f>
        <v>0</v>
      </c>
      <c r="AT49" s="66">
        <f>'Fine Tuning'!AT16/12*'Key Business Variables'!$C34</f>
        <v>0</v>
      </c>
      <c r="AU49" s="66">
        <f>'Fine Tuning'!AU16/12*'Key Business Variables'!$C34</f>
        <v>0</v>
      </c>
      <c r="AV49" s="66">
        <f>'Fine Tuning'!AV16/12*'Key Business Variables'!$C34</f>
        <v>0</v>
      </c>
      <c r="AW49" s="66">
        <f>'Fine Tuning'!AW16/12*'Key Business Variables'!$C34</f>
        <v>0</v>
      </c>
      <c r="AX49" s="69"/>
      <c r="AY49" s="70"/>
    </row>
    <row r="50" spans="1:51" s="68" customFormat="1" hidden="1" x14ac:dyDescent="0.6">
      <c r="A50" s="101" t="s">
        <v>66</v>
      </c>
      <c r="B50" s="69">
        <f>'Key Business Variables'!$F$18/12</f>
        <v>0</v>
      </c>
      <c r="C50" s="69">
        <f>'Key Business Variables'!$F$18/12</f>
        <v>0</v>
      </c>
      <c r="D50" s="69">
        <f>'Key Business Variables'!$F$18/12</f>
        <v>0</v>
      </c>
      <c r="E50" s="69">
        <f>'Key Business Variables'!$F$18/12</f>
        <v>0</v>
      </c>
      <c r="F50" s="69">
        <f>'Key Business Variables'!$F$18/12</f>
        <v>0</v>
      </c>
      <c r="G50" s="69">
        <f>'Key Business Variables'!$F$18/12</f>
        <v>0</v>
      </c>
      <c r="H50" s="69">
        <f>'Key Business Variables'!$F$18/12</f>
        <v>0</v>
      </c>
      <c r="I50" s="69">
        <f>'Key Business Variables'!$F$18/12</f>
        <v>0</v>
      </c>
      <c r="J50" s="69">
        <f>'Key Business Variables'!$F$18/12</f>
        <v>0</v>
      </c>
      <c r="K50" s="69">
        <f>'Key Business Variables'!$F$18/12</f>
        <v>0</v>
      </c>
      <c r="L50" s="69">
        <f>'Key Business Variables'!$F$18/12</f>
        <v>0</v>
      </c>
      <c r="M50" s="69">
        <f>'Key Business Variables'!$F$18/12</f>
        <v>0</v>
      </c>
      <c r="N50" s="69">
        <f>'Key Business Variables'!$G$18/12</f>
        <v>0</v>
      </c>
      <c r="O50" s="69">
        <f>'Key Business Variables'!$G$18/12</f>
        <v>0</v>
      </c>
      <c r="P50" s="69">
        <f>'Key Business Variables'!$G$18/12</f>
        <v>0</v>
      </c>
      <c r="Q50" s="69">
        <f>'Key Business Variables'!$G$18/12</f>
        <v>0</v>
      </c>
      <c r="R50" s="69">
        <f>'Key Business Variables'!$G$18/12</f>
        <v>0</v>
      </c>
      <c r="S50" s="69">
        <f>'Key Business Variables'!$G$18/12</f>
        <v>0</v>
      </c>
      <c r="T50" s="69">
        <f>'Key Business Variables'!$G$18/12</f>
        <v>0</v>
      </c>
      <c r="U50" s="69">
        <f>'Key Business Variables'!$G$18/12</f>
        <v>0</v>
      </c>
      <c r="V50" s="69">
        <f>'Key Business Variables'!$G$18/12</f>
        <v>0</v>
      </c>
      <c r="W50" s="69">
        <f>'Key Business Variables'!$G$18/12</f>
        <v>0</v>
      </c>
      <c r="X50" s="69">
        <f>'Key Business Variables'!$G$18/12</f>
        <v>0</v>
      </c>
      <c r="Y50" s="69">
        <f>'Key Business Variables'!$G$18/12</f>
        <v>0</v>
      </c>
      <c r="Z50" s="69">
        <f>'Key Business Variables'!$I$18/12</f>
        <v>0</v>
      </c>
      <c r="AA50" s="69">
        <f>'Key Business Variables'!$I$18/12</f>
        <v>0</v>
      </c>
      <c r="AB50" s="69">
        <f>'Key Business Variables'!$I$18/12</f>
        <v>0</v>
      </c>
      <c r="AC50" s="69">
        <f>'Key Business Variables'!$I$18/12</f>
        <v>0</v>
      </c>
      <c r="AD50" s="69">
        <f>'Key Business Variables'!$I$18/12</f>
        <v>0</v>
      </c>
      <c r="AE50" s="69">
        <f>'Key Business Variables'!$I$18/12</f>
        <v>0</v>
      </c>
      <c r="AF50" s="69">
        <f>'Key Business Variables'!$I$18/12</f>
        <v>0</v>
      </c>
      <c r="AG50" s="69">
        <f>'Key Business Variables'!$I$18/12</f>
        <v>0</v>
      </c>
      <c r="AH50" s="69">
        <f>'Key Business Variables'!$I$18/12</f>
        <v>0</v>
      </c>
      <c r="AI50" s="69">
        <f>'Key Business Variables'!$I$18/12</f>
        <v>0</v>
      </c>
      <c r="AJ50" s="69">
        <f>'Key Business Variables'!$I$18/12</f>
        <v>0</v>
      </c>
      <c r="AK50" s="69">
        <f>'Key Business Variables'!$I$18/12</f>
        <v>0</v>
      </c>
      <c r="AL50" s="69">
        <f>'Key Business Variables'!$J$18/12</f>
        <v>0</v>
      </c>
      <c r="AM50" s="69">
        <f>'Key Business Variables'!$J$18/12</f>
        <v>0</v>
      </c>
      <c r="AN50" s="69">
        <f>'Key Business Variables'!$J$18/12</f>
        <v>0</v>
      </c>
      <c r="AO50" s="69">
        <f>'Key Business Variables'!$J$18/12</f>
        <v>0</v>
      </c>
      <c r="AP50" s="69">
        <f>'Key Business Variables'!$J$18/12</f>
        <v>0</v>
      </c>
      <c r="AQ50" s="69">
        <f>'Key Business Variables'!$J$18/12</f>
        <v>0</v>
      </c>
      <c r="AR50" s="69">
        <f>'Key Business Variables'!$J$18/12</f>
        <v>0</v>
      </c>
      <c r="AS50" s="69">
        <f>'Key Business Variables'!$J$18/12</f>
        <v>0</v>
      </c>
      <c r="AT50" s="69">
        <f>'Key Business Variables'!$J$18/12</f>
        <v>0</v>
      </c>
      <c r="AU50" s="69">
        <f>'Key Business Variables'!$J$18/12</f>
        <v>0</v>
      </c>
      <c r="AV50" s="69">
        <f>'Key Business Variables'!$J$18/12</f>
        <v>0</v>
      </c>
      <c r="AW50" s="69">
        <f>'Key Business Variables'!$J$18/12</f>
        <v>0</v>
      </c>
    </row>
    <row r="51" spans="1:51" s="68" customFormat="1" hidden="1" x14ac:dyDescent="0.6">
      <c r="A51" s="101" t="s">
        <v>67</v>
      </c>
      <c r="B51" s="69">
        <f>'Key Business Variables'!$F19/12</f>
        <v>0</v>
      </c>
      <c r="C51" s="69">
        <f>'Key Business Variables'!$F19/12</f>
        <v>0</v>
      </c>
      <c r="D51" s="69">
        <f>'Key Business Variables'!$F19/12</f>
        <v>0</v>
      </c>
      <c r="E51" s="69">
        <f>'Key Business Variables'!$F19/12</f>
        <v>0</v>
      </c>
      <c r="F51" s="69">
        <f>'Key Business Variables'!$F19/12</f>
        <v>0</v>
      </c>
      <c r="G51" s="69">
        <f>'Key Business Variables'!$F19/12</f>
        <v>0</v>
      </c>
      <c r="H51" s="69">
        <f>'Key Business Variables'!$F19/12</f>
        <v>0</v>
      </c>
      <c r="I51" s="69">
        <f>'Key Business Variables'!$F19/12</f>
        <v>0</v>
      </c>
      <c r="J51" s="69">
        <f>'Key Business Variables'!$F19/12</f>
        <v>0</v>
      </c>
      <c r="K51" s="69">
        <f>'Key Business Variables'!$F19/12</f>
        <v>0</v>
      </c>
      <c r="L51" s="69">
        <f>'Key Business Variables'!$F19/12</f>
        <v>0</v>
      </c>
      <c r="M51" s="69">
        <f>'Key Business Variables'!$F19/12</f>
        <v>0</v>
      </c>
      <c r="N51" s="69">
        <f>'Key Business Variables'!$G19/12</f>
        <v>0</v>
      </c>
      <c r="O51" s="69">
        <f>'Key Business Variables'!$G19/12</f>
        <v>0</v>
      </c>
      <c r="P51" s="69">
        <f>'Key Business Variables'!$G19/12</f>
        <v>0</v>
      </c>
      <c r="Q51" s="69">
        <f>'Key Business Variables'!$G19/12</f>
        <v>0</v>
      </c>
      <c r="R51" s="69">
        <f>'Key Business Variables'!$G19/12</f>
        <v>0</v>
      </c>
      <c r="S51" s="69">
        <f>'Key Business Variables'!$G19/12</f>
        <v>0</v>
      </c>
      <c r="T51" s="69">
        <f>'Key Business Variables'!$G19/12</f>
        <v>0</v>
      </c>
      <c r="U51" s="69">
        <f>'Key Business Variables'!$G19/12</f>
        <v>0</v>
      </c>
      <c r="V51" s="69">
        <f>'Key Business Variables'!$G19/12</f>
        <v>0</v>
      </c>
      <c r="W51" s="69">
        <f>'Key Business Variables'!$G19/12</f>
        <v>0</v>
      </c>
      <c r="X51" s="69">
        <f>'Key Business Variables'!$G19/12</f>
        <v>0</v>
      </c>
      <c r="Y51" s="69">
        <f>'Key Business Variables'!$G19/12</f>
        <v>0</v>
      </c>
      <c r="Z51" s="69">
        <f>'Key Business Variables'!$I19/12</f>
        <v>0</v>
      </c>
      <c r="AA51" s="69">
        <f>'Key Business Variables'!$I19/12</f>
        <v>0</v>
      </c>
      <c r="AB51" s="69">
        <f>'Key Business Variables'!$I19/12</f>
        <v>0</v>
      </c>
      <c r="AC51" s="69">
        <f>'Key Business Variables'!$I19/12</f>
        <v>0</v>
      </c>
      <c r="AD51" s="69">
        <f>'Key Business Variables'!$I19/12</f>
        <v>0</v>
      </c>
      <c r="AE51" s="69">
        <f>'Key Business Variables'!$I19/12</f>
        <v>0</v>
      </c>
      <c r="AF51" s="69">
        <f>'Key Business Variables'!$I19/12</f>
        <v>0</v>
      </c>
      <c r="AG51" s="69">
        <f>'Key Business Variables'!$I19/12</f>
        <v>0</v>
      </c>
      <c r="AH51" s="69">
        <f>'Key Business Variables'!$I19/12</f>
        <v>0</v>
      </c>
      <c r="AI51" s="69">
        <f>'Key Business Variables'!$I19/12</f>
        <v>0</v>
      </c>
      <c r="AJ51" s="69">
        <f>'Key Business Variables'!$I19/12</f>
        <v>0</v>
      </c>
      <c r="AK51" s="69">
        <f>'Key Business Variables'!$I19/12</f>
        <v>0</v>
      </c>
      <c r="AL51" s="69">
        <f>'Key Business Variables'!$J19/12</f>
        <v>0</v>
      </c>
      <c r="AM51" s="69">
        <f>'Key Business Variables'!$J19/12</f>
        <v>0</v>
      </c>
      <c r="AN51" s="69">
        <f>'Key Business Variables'!$J19/12</f>
        <v>0</v>
      </c>
      <c r="AO51" s="69">
        <f>'Key Business Variables'!$J19/12</f>
        <v>0</v>
      </c>
      <c r="AP51" s="69">
        <f>'Key Business Variables'!$J19/12</f>
        <v>0</v>
      </c>
      <c r="AQ51" s="69">
        <f>'Key Business Variables'!$J19/12</f>
        <v>0</v>
      </c>
      <c r="AR51" s="69">
        <f>'Key Business Variables'!$J19/12</f>
        <v>0</v>
      </c>
      <c r="AS51" s="69">
        <f>'Key Business Variables'!$J19/12</f>
        <v>0</v>
      </c>
      <c r="AT51" s="69">
        <f>'Key Business Variables'!$J19/12</f>
        <v>0</v>
      </c>
      <c r="AU51" s="69">
        <f>'Key Business Variables'!$J19/12</f>
        <v>0</v>
      </c>
      <c r="AV51" s="69">
        <f>'Key Business Variables'!$J19/12</f>
        <v>0</v>
      </c>
      <c r="AW51" s="69">
        <f>'Key Business Variables'!$J19/12</f>
        <v>0</v>
      </c>
    </row>
    <row r="52" spans="1:51" s="68" customFormat="1" hidden="1" x14ac:dyDescent="0.6">
      <c r="A52" s="102" t="s">
        <v>68</v>
      </c>
      <c r="B52" s="69">
        <f>'Key Business Variables'!$F20/12</f>
        <v>0</v>
      </c>
      <c r="C52" s="69">
        <f>'Key Business Variables'!$F20/12</f>
        <v>0</v>
      </c>
      <c r="D52" s="69">
        <f>'Key Business Variables'!$F20/12</f>
        <v>0</v>
      </c>
      <c r="E52" s="69">
        <f>'Key Business Variables'!$F20/12</f>
        <v>0</v>
      </c>
      <c r="F52" s="69">
        <f>'Key Business Variables'!$F20/12</f>
        <v>0</v>
      </c>
      <c r="G52" s="69">
        <f>'Key Business Variables'!$F20/12</f>
        <v>0</v>
      </c>
      <c r="H52" s="69">
        <f>'Key Business Variables'!$F20/12</f>
        <v>0</v>
      </c>
      <c r="I52" s="69">
        <f>'Key Business Variables'!$F20/12</f>
        <v>0</v>
      </c>
      <c r="J52" s="69">
        <f>'Key Business Variables'!$F20/12</f>
        <v>0</v>
      </c>
      <c r="K52" s="69">
        <f>'Key Business Variables'!$F20/12</f>
        <v>0</v>
      </c>
      <c r="L52" s="69">
        <f>'Key Business Variables'!$F20/12</f>
        <v>0</v>
      </c>
      <c r="M52" s="69">
        <f>'Key Business Variables'!$F20/12</f>
        <v>0</v>
      </c>
      <c r="N52" s="69">
        <f>'Key Business Variables'!$G20/12</f>
        <v>0</v>
      </c>
      <c r="O52" s="69">
        <f>'Key Business Variables'!$G20/12</f>
        <v>0</v>
      </c>
      <c r="P52" s="69">
        <f>'Key Business Variables'!$G20/12</f>
        <v>0</v>
      </c>
      <c r="Q52" s="69">
        <f>'Key Business Variables'!$G20/12</f>
        <v>0</v>
      </c>
      <c r="R52" s="69">
        <f>'Key Business Variables'!$G20/12</f>
        <v>0</v>
      </c>
      <c r="S52" s="69">
        <f>'Key Business Variables'!$G20/12</f>
        <v>0</v>
      </c>
      <c r="T52" s="69">
        <f>'Key Business Variables'!$G20/12</f>
        <v>0</v>
      </c>
      <c r="U52" s="69">
        <f>'Key Business Variables'!$G20/12</f>
        <v>0</v>
      </c>
      <c r="V52" s="69">
        <f>'Key Business Variables'!$G20/12</f>
        <v>0</v>
      </c>
      <c r="W52" s="69">
        <f>'Key Business Variables'!$G20/12</f>
        <v>0</v>
      </c>
      <c r="X52" s="69">
        <f>'Key Business Variables'!$G20/12</f>
        <v>0</v>
      </c>
      <c r="Y52" s="69">
        <f>'Key Business Variables'!$G20/12</f>
        <v>0</v>
      </c>
      <c r="Z52" s="69">
        <f>'Key Business Variables'!$I20/12</f>
        <v>0</v>
      </c>
      <c r="AA52" s="69">
        <f>'Key Business Variables'!$I20/12</f>
        <v>0</v>
      </c>
      <c r="AB52" s="69">
        <f>'Key Business Variables'!$I20/12</f>
        <v>0</v>
      </c>
      <c r="AC52" s="69">
        <f>'Key Business Variables'!$I20/12</f>
        <v>0</v>
      </c>
      <c r="AD52" s="69">
        <f>'Key Business Variables'!$I20/12</f>
        <v>0</v>
      </c>
      <c r="AE52" s="69">
        <f>'Key Business Variables'!$I20/12</f>
        <v>0</v>
      </c>
      <c r="AF52" s="69">
        <f>'Key Business Variables'!$I20/12</f>
        <v>0</v>
      </c>
      <c r="AG52" s="69">
        <f>'Key Business Variables'!$I20/12</f>
        <v>0</v>
      </c>
      <c r="AH52" s="69">
        <f>'Key Business Variables'!$I20/12</f>
        <v>0</v>
      </c>
      <c r="AI52" s="69">
        <f>'Key Business Variables'!$I20/12</f>
        <v>0</v>
      </c>
      <c r="AJ52" s="69">
        <f>'Key Business Variables'!$I20/12</f>
        <v>0</v>
      </c>
      <c r="AK52" s="69">
        <f>'Key Business Variables'!$I20/12</f>
        <v>0</v>
      </c>
      <c r="AL52" s="69">
        <f>'Key Business Variables'!$J20/12</f>
        <v>0</v>
      </c>
      <c r="AM52" s="69">
        <f>'Key Business Variables'!$J20/12</f>
        <v>0</v>
      </c>
      <c r="AN52" s="69">
        <f>'Key Business Variables'!$J20/12</f>
        <v>0</v>
      </c>
      <c r="AO52" s="69">
        <f>'Key Business Variables'!$J20/12</f>
        <v>0</v>
      </c>
      <c r="AP52" s="69">
        <f>'Key Business Variables'!$J20/12</f>
        <v>0</v>
      </c>
      <c r="AQ52" s="69">
        <f>'Key Business Variables'!$J20/12</f>
        <v>0</v>
      </c>
      <c r="AR52" s="69">
        <f>'Key Business Variables'!$J20/12</f>
        <v>0</v>
      </c>
      <c r="AS52" s="69">
        <f>'Key Business Variables'!$J20/12</f>
        <v>0</v>
      </c>
      <c r="AT52" s="69">
        <f>'Key Business Variables'!$J20/12</f>
        <v>0</v>
      </c>
      <c r="AU52" s="69">
        <f>'Key Business Variables'!$J20/12</f>
        <v>0</v>
      </c>
      <c r="AV52" s="69">
        <f>'Key Business Variables'!$J20/12</f>
        <v>0</v>
      </c>
      <c r="AW52" s="69">
        <f>'Key Business Variables'!$J20/12</f>
        <v>0</v>
      </c>
    </row>
    <row r="53" spans="1:51" hidden="1" x14ac:dyDescent="0.6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</row>
    <row r="54" spans="1:51" hidden="1" x14ac:dyDescent="0.6">
      <c r="A54" s="58" t="s">
        <v>21</v>
      </c>
      <c r="B54" s="67">
        <f t="shared" ref="B54:AW54" si="2">SUM(B24:B32)-SUM(B35:B52)</f>
        <v>-3073.6533333333318</v>
      </c>
      <c r="C54" s="67">
        <f t="shared" si="2"/>
        <v>-2792.0466666666653</v>
      </c>
      <c r="D54" s="67">
        <f t="shared" si="2"/>
        <v>-2510.4399999999987</v>
      </c>
      <c r="E54" s="67">
        <f t="shared" si="2"/>
        <v>-2228.8333333333321</v>
      </c>
      <c r="F54" s="67">
        <f t="shared" si="2"/>
        <v>-1947.2266666666656</v>
      </c>
      <c r="G54" s="67">
        <f t="shared" si="2"/>
        <v>-1665.619999999999</v>
      </c>
      <c r="H54" s="67">
        <f t="shared" si="2"/>
        <v>-1384.0133333333324</v>
      </c>
      <c r="I54" s="67">
        <f t="shared" si="2"/>
        <v>-1102.4066666666658</v>
      </c>
      <c r="J54" s="67">
        <f t="shared" si="2"/>
        <v>-820.79999999999927</v>
      </c>
      <c r="K54" s="67">
        <f t="shared" si="2"/>
        <v>-539.19333333333634</v>
      </c>
      <c r="L54" s="67">
        <f t="shared" si="2"/>
        <v>-257.58666666666977</v>
      </c>
      <c r="M54" s="67">
        <f t="shared" si="2"/>
        <v>24.020000000000437</v>
      </c>
      <c r="N54" s="67">
        <f t="shared" si="2"/>
        <v>90.494333333335817</v>
      </c>
      <c r="O54" s="67">
        <f t="shared" si="2"/>
        <v>156.96866666666756</v>
      </c>
      <c r="P54" s="67">
        <f t="shared" si="2"/>
        <v>223.4429999999993</v>
      </c>
      <c r="Q54" s="67">
        <f t="shared" si="2"/>
        <v>289.91733333333832</v>
      </c>
      <c r="R54" s="67">
        <f t="shared" si="2"/>
        <v>356.39166666667006</v>
      </c>
      <c r="S54" s="67">
        <f t="shared" si="2"/>
        <v>422.8660000000018</v>
      </c>
      <c r="T54" s="67">
        <f t="shared" si="2"/>
        <v>489.34033333333355</v>
      </c>
      <c r="U54" s="67">
        <f t="shared" si="2"/>
        <v>555.81466666666893</v>
      </c>
      <c r="V54" s="67">
        <f t="shared" si="2"/>
        <v>622.28900000000795</v>
      </c>
      <c r="W54" s="67">
        <f t="shared" si="2"/>
        <v>688.76333333333969</v>
      </c>
      <c r="X54" s="67">
        <f t="shared" si="2"/>
        <v>755.23766666666779</v>
      </c>
      <c r="Y54" s="67">
        <f t="shared" si="2"/>
        <v>821.71200000000317</v>
      </c>
      <c r="Z54" s="67">
        <f t="shared" si="2"/>
        <v>834.32393333334039</v>
      </c>
      <c r="AA54" s="67">
        <f t="shared" si="2"/>
        <v>846.9358666666667</v>
      </c>
      <c r="AB54" s="67">
        <f t="shared" si="2"/>
        <v>859.54780000000756</v>
      </c>
      <c r="AC54" s="67">
        <f t="shared" si="2"/>
        <v>872.15973333334114</v>
      </c>
      <c r="AD54" s="67">
        <f t="shared" si="2"/>
        <v>884.77166666668199</v>
      </c>
      <c r="AE54" s="67">
        <f t="shared" si="2"/>
        <v>897.3836000000083</v>
      </c>
      <c r="AF54" s="67">
        <f t="shared" si="2"/>
        <v>909.99553333334188</v>
      </c>
      <c r="AG54" s="67">
        <f t="shared" si="2"/>
        <v>922.60746666667546</v>
      </c>
      <c r="AH54" s="67">
        <f t="shared" si="2"/>
        <v>935.21940000000905</v>
      </c>
      <c r="AI54" s="67">
        <f t="shared" si="2"/>
        <v>947.83133333334263</v>
      </c>
      <c r="AJ54" s="67">
        <f t="shared" si="2"/>
        <v>960.44326666667621</v>
      </c>
      <c r="AK54" s="67">
        <f t="shared" si="2"/>
        <v>973.05520000000979</v>
      </c>
      <c r="AL54" s="67">
        <f t="shared" si="2"/>
        <v>988.85913333334611</v>
      </c>
      <c r="AM54" s="67">
        <f t="shared" si="2"/>
        <v>1004.6630666666824</v>
      </c>
      <c r="AN54" s="67">
        <f t="shared" si="2"/>
        <v>1020.4670000000115</v>
      </c>
      <c r="AO54" s="67">
        <f t="shared" si="2"/>
        <v>1036.2709333333478</v>
      </c>
      <c r="AP54" s="67">
        <f t="shared" si="2"/>
        <v>1052.0748666666841</v>
      </c>
      <c r="AQ54" s="67">
        <f t="shared" si="2"/>
        <v>1067.8788000000204</v>
      </c>
      <c r="AR54" s="67">
        <f t="shared" si="2"/>
        <v>1083.6827333333567</v>
      </c>
      <c r="AS54" s="67">
        <f t="shared" si="2"/>
        <v>1099.4866666666785</v>
      </c>
      <c r="AT54" s="67">
        <f t="shared" si="2"/>
        <v>1115.2906000000221</v>
      </c>
      <c r="AU54" s="67">
        <f t="shared" si="2"/>
        <v>1131.0945333333439</v>
      </c>
      <c r="AV54" s="67">
        <f t="shared" si="2"/>
        <v>1146.8984666666875</v>
      </c>
      <c r="AW54" s="67">
        <f t="shared" si="2"/>
        <v>1162.7024000000238</v>
      </c>
    </row>
    <row r="55" spans="1:51" hidden="1" x14ac:dyDescent="0.6">
      <c r="A55" s="58" t="s">
        <v>15</v>
      </c>
      <c r="B55" s="67">
        <f>B54</f>
        <v>-3073.6533333333318</v>
      </c>
      <c r="C55" s="67">
        <f>C54+B55</f>
        <v>-5865.6999999999971</v>
      </c>
      <c r="D55" s="67">
        <f>D54+C55</f>
        <v>-8376.1399999999958</v>
      </c>
      <c r="E55" s="67">
        <f t="shared" ref="E55:AW55" si="3">E54+D55</f>
        <v>-10604.973333333328</v>
      </c>
      <c r="F55" s="67">
        <f t="shared" si="3"/>
        <v>-12552.199999999993</v>
      </c>
      <c r="G55" s="67">
        <f t="shared" si="3"/>
        <v>-14217.819999999992</v>
      </c>
      <c r="H55" s="67">
        <f t="shared" si="3"/>
        <v>-15601.833333333325</v>
      </c>
      <c r="I55" s="67">
        <f t="shared" si="3"/>
        <v>-16704.239999999991</v>
      </c>
      <c r="J55" s="67">
        <f t="shared" si="3"/>
        <v>-17525.03999999999</v>
      </c>
      <c r="K55" s="67">
        <f t="shared" si="3"/>
        <v>-18064.233333333326</v>
      </c>
      <c r="L55" s="67">
        <f t="shared" si="3"/>
        <v>-18321.819999999996</v>
      </c>
      <c r="M55" s="67">
        <f t="shared" si="3"/>
        <v>-18297.799999999996</v>
      </c>
      <c r="N55" s="67">
        <f t="shared" si="3"/>
        <v>-18207.30566666666</v>
      </c>
      <c r="O55" s="67">
        <f t="shared" si="3"/>
        <v>-18050.336999999992</v>
      </c>
      <c r="P55" s="67">
        <f t="shared" si="3"/>
        <v>-17826.893999999993</v>
      </c>
      <c r="Q55" s="67">
        <f t="shared" si="3"/>
        <v>-17536.976666666655</v>
      </c>
      <c r="R55" s="67">
        <f t="shared" si="3"/>
        <v>-17180.584999999985</v>
      </c>
      <c r="S55" s="67">
        <f t="shared" si="3"/>
        <v>-16757.718999999983</v>
      </c>
      <c r="T55" s="67">
        <f t="shared" si="3"/>
        <v>-16268.378666666649</v>
      </c>
      <c r="U55" s="67">
        <f t="shared" si="3"/>
        <v>-15712.56399999998</v>
      </c>
      <c r="V55" s="67">
        <f t="shared" si="3"/>
        <v>-15090.274999999972</v>
      </c>
      <c r="W55" s="67">
        <f t="shared" si="3"/>
        <v>-14401.511666666633</v>
      </c>
      <c r="X55" s="67">
        <f t="shared" si="3"/>
        <v>-13646.273999999965</v>
      </c>
      <c r="Y55" s="67">
        <f t="shared" si="3"/>
        <v>-12824.561999999962</v>
      </c>
      <c r="Z55" s="67">
        <f t="shared" si="3"/>
        <v>-11990.238066666621</v>
      </c>
      <c r="AA55" s="67">
        <f t="shared" si="3"/>
        <v>-11143.302199999955</v>
      </c>
      <c r="AB55" s="67">
        <f t="shared" si="3"/>
        <v>-10283.754399999947</v>
      </c>
      <c r="AC55" s="67">
        <f t="shared" si="3"/>
        <v>-9411.5946666666059</v>
      </c>
      <c r="AD55" s="67">
        <f t="shared" si="3"/>
        <v>-8526.8229999999239</v>
      </c>
      <c r="AE55" s="67">
        <f t="shared" si="3"/>
        <v>-7629.4393999999156</v>
      </c>
      <c r="AF55" s="67">
        <f t="shared" si="3"/>
        <v>-6719.4438666665737</v>
      </c>
      <c r="AG55" s="67">
        <f t="shared" si="3"/>
        <v>-5796.8363999998983</v>
      </c>
      <c r="AH55" s="67">
        <f t="shared" si="3"/>
        <v>-4861.6169999998892</v>
      </c>
      <c r="AI55" s="67">
        <f t="shared" si="3"/>
        <v>-3913.7856666665466</v>
      </c>
      <c r="AJ55" s="67">
        <f t="shared" si="3"/>
        <v>-2953.3423999998704</v>
      </c>
      <c r="AK55" s="67">
        <f>AK54+AJ55</f>
        <v>-1980.2871999998606</v>
      </c>
      <c r="AL55" s="67">
        <f t="shared" si="3"/>
        <v>-991.4280666665145</v>
      </c>
      <c r="AM55" s="67">
        <f t="shared" si="3"/>
        <v>13.235000000167929</v>
      </c>
      <c r="AN55" s="67">
        <f t="shared" si="3"/>
        <v>1033.7020000001794</v>
      </c>
      <c r="AO55" s="67">
        <f t="shared" si="3"/>
        <v>2069.9729333335272</v>
      </c>
      <c r="AP55" s="67">
        <f t="shared" si="3"/>
        <v>3122.0478000002113</v>
      </c>
      <c r="AQ55" s="67">
        <f t="shared" si="3"/>
        <v>4189.9266000002317</v>
      </c>
      <c r="AR55" s="67">
        <f t="shared" si="3"/>
        <v>5273.6093333335884</v>
      </c>
      <c r="AS55" s="67">
        <f t="shared" si="3"/>
        <v>6373.0960000002669</v>
      </c>
      <c r="AT55" s="67">
        <f t="shared" si="3"/>
        <v>7488.386600000289</v>
      </c>
      <c r="AU55" s="67">
        <f t="shared" si="3"/>
        <v>8619.4811333336329</v>
      </c>
      <c r="AV55" s="67">
        <f t="shared" si="3"/>
        <v>9766.3796000003204</v>
      </c>
      <c r="AW55" s="67">
        <f t="shared" si="3"/>
        <v>10929.082000000344</v>
      </c>
    </row>
    <row r="56" spans="1:51" hidden="1" x14ac:dyDescent="0.6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</row>
    <row r="57" spans="1:51" hidden="1" x14ac:dyDescent="0.6">
      <c r="A57" s="71" t="s">
        <v>12</v>
      </c>
      <c r="B57" s="72">
        <v>1</v>
      </c>
      <c r="C57" s="72">
        <v>2</v>
      </c>
      <c r="D57" s="72">
        <v>3</v>
      </c>
      <c r="E57" s="72">
        <v>4</v>
      </c>
      <c r="F57" s="67"/>
      <c r="G57" s="67"/>
      <c r="H57" s="67"/>
      <c r="K57" s="179" t="s">
        <v>198</v>
      </c>
      <c r="L57" s="73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</row>
    <row r="58" spans="1:51" hidden="1" x14ac:dyDescent="0.6">
      <c r="J58" s="67"/>
      <c r="K58" s="175" t="s">
        <v>18</v>
      </c>
      <c r="L58" s="175" t="s">
        <v>215</v>
      </c>
      <c r="M58" s="175" t="s">
        <v>90</v>
      </c>
      <c r="N58" s="175" t="s">
        <v>201</v>
      </c>
      <c r="O58" s="179" t="s">
        <v>202</v>
      </c>
      <c r="P58" s="179" t="s">
        <v>203</v>
      </c>
      <c r="Q58" s="179" t="s">
        <v>204</v>
      </c>
      <c r="R58" s="179" t="s">
        <v>205</v>
      </c>
    </row>
    <row r="59" spans="1:51" hidden="1" x14ac:dyDescent="0.6">
      <c r="A59" s="61" t="s">
        <v>127</v>
      </c>
      <c r="B59" s="67">
        <f>SUM(B24:M27)</f>
        <v>64854.400000000001</v>
      </c>
      <c r="C59" s="67">
        <f>SUM(N24:Y27)</f>
        <v>181342.88</v>
      </c>
      <c r="D59" s="67">
        <f>SUM(Z24:AK27)</f>
        <v>295087.52000000019</v>
      </c>
      <c r="E59" s="67">
        <f>SUM(AL24:AW27)</f>
        <v>408832.16000000038</v>
      </c>
      <c r="F59" s="67">
        <f t="shared" ref="F59:F63" si="4">SUM(B59:E59)</f>
        <v>950116.96000000054</v>
      </c>
      <c r="G59" s="67">
        <v>3053490.5200000005</v>
      </c>
      <c r="J59" s="107" t="s">
        <v>187</v>
      </c>
      <c r="K59" s="120">
        <f>(('Key Business Variables'!C11*'Key Business Variables'!C17)+('Key Business Variables'!C12*'Key Business Variables'!C18))/('Key Business Variables'!C11+'Key Business Variables'!C12)</f>
        <v>49.333333333333336</v>
      </c>
      <c r="L59" s="120">
        <f>K59*(1-'Key Business Variables'!C65)</f>
        <v>31.408888888888892</v>
      </c>
      <c r="M59" s="174">
        <f>IFERROR((1-(L59/K59)),0)</f>
        <v>0.36333333333333329</v>
      </c>
      <c r="N59" s="147">
        <f>$K$59-$L$59</f>
        <v>17.924444444444443</v>
      </c>
      <c r="O59" s="184">
        <f>$M59</f>
        <v>0.36333333333333329</v>
      </c>
      <c r="P59" s="184">
        <f t="shared" ref="P59:R60" si="5">$M59</f>
        <v>0.36333333333333329</v>
      </c>
      <c r="Q59" s="184">
        <f t="shared" si="5"/>
        <v>0.36333333333333329</v>
      </c>
      <c r="R59" s="184">
        <f t="shared" si="5"/>
        <v>0.36333333333333329</v>
      </c>
    </row>
    <row r="60" spans="1:51" hidden="1" x14ac:dyDescent="0.6">
      <c r="A60" s="61" t="s">
        <v>211</v>
      </c>
      <c r="B60" s="67">
        <f>SUM(B28:M29)</f>
        <v>126900</v>
      </c>
      <c r="C60" s="67">
        <f>SUM(N28:Y29)</f>
        <v>126900</v>
      </c>
      <c r="D60" s="67">
        <f>SUM(Z28:AK29)</f>
        <v>126900</v>
      </c>
      <c r="E60" s="67">
        <f>SUM(AL28:AW29)</f>
        <v>126900</v>
      </c>
      <c r="F60" s="67">
        <f t="shared" si="4"/>
        <v>507600</v>
      </c>
      <c r="G60" s="67">
        <v>1262187.5</v>
      </c>
      <c r="H60" s="67"/>
      <c r="J60" s="107" t="s">
        <v>188</v>
      </c>
      <c r="K60" s="120">
        <f>((1/(1+'Key Business Variables'!C49))*'Key Business Variables'!C17)+(('Key Business Variables'!C49/(1+'Key Business Variables'!C49))*'Key Business Variables'!C18)</f>
        <v>63.79999999999999</v>
      </c>
      <c r="L60" s="120">
        <f>K60*(1-'Key Business Variables'!C62)</f>
        <v>39.874999999999993</v>
      </c>
      <c r="M60" s="174">
        <f>IFERROR((1-(L60/K60)),0)</f>
        <v>0.375</v>
      </c>
      <c r="N60" s="147">
        <f>$K$60-$L$60</f>
        <v>23.924999999999997</v>
      </c>
      <c r="O60" s="184">
        <f>$M60</f>
        <v>0.375</v>
      </c>
      <c r="P60" s="184">
        <f t="shared" si="5"/>
        <v>0.375</v>
      </c>
      <c r="Q60" s="184">
        <f t="shared" si="5"/>
        <v>0.375</v>
      </c>
      <c r="R60" s="184">
        <f t="shared" si="5"/>
        <v>0.375</v>
      </c>
    </row>
    <row r="61" spans="1:51" hidden="1" x14ac:dyDescent="0.6">
      <c r="A61" s="61" t="s">
        <v>128</v>
      </c>
      <c r="B61" s="67">
        <f>SUM(B30:M30)</f>
        <v>0</v>
      </c>
      <c r="C61" s="67">
        <f>SUM(N30:Y30)</f>
        <v>0</v>
      </c>
      <c r="D61" s="67">
        <f>SUM(Z30:AK30)</f>
        <v>0</v>
      </c>
      <c r="E61" s="67">
        <f>SUM(AL30:AW30)</f>
        <v>0</v>
      </c>
      <c r="F61" s="67">
        <f t="shared" si="4"/>
        <v>0</v>
      </c>
      <c r="G61" s="67">
        <v>623254</v>
      </c>
      <c r="H61" s="67"/>
      <c r="J61" s="76" t="s">
        <v>214</v>
      </c>
      <c r="K61" s="75">
        <f>'Key Business Variables'!C14/('Key Business Variables'!C11+'Key Business Variables'!C12)</f>
        <v>940</v>
      </c>
      <c r="L61" s="120">
        <f>K61*(1-M61)</f>
        <v>407.40740740740745</v>
      </c>
      <c r="M61" s="183">
        <f>IFERROR(1-(F67/F60),0)</f>
        <v>0.56658786446020482</v>
      </c>
      <c r="N61" s="75">
        <f>K61-L61</f>
        <v>532.59259259259261</v>
      </c>
      <c r="O61" s="183">
        <f>1-(B67/B60)</f>
        <v>0.56658786446020482</v>
      </c>
      <c r="P61" s="183">
        <f>1-(C67/C60)</f>
        <v>0.56658786446020482</v>
      </c>
      <c r="Q61" s="183">
        <f>1-(D67/D60)</f>
        <v>0.56658786446020482</v>
      </c>
      <c r="R61" s="183">
        <f>1-(E67/E60)</f>
        <v>0.56658786446020482</v>
      </c>
    </row>
    <row r="62" spans="1:51" hidden="1" x14ac:dyDescent="0.6">
      <c r="A62" s="61" t="s">
        <v>129</v>
      </c>
      <c r="B62" s="67">
        <f>SUM(B31:M31)</f>
        <v>0</v>
      </c>
      <c r="C62" s="67">
        <f>SUM(N31:Y31)</f>
        <v>0</v>
      </c>
      <c r="D62" s="67">
        <f>SUM(Z31:AK31)</f>
        <v>0</v>
      </c>
      <c r="E62" s="67">
        <f>SUM(AL31:AW31)</f>
        <v>0</v>
      </c>
      <c r="F62" s="67">
        <f t="shared" si="4"/>
        <v>0</v>
      </c>
      <c r="G62" s="67"/>
      <c r="H62" s="67"/>
      <c r="J62" s="76" t="s">
        <v>216</v>
      </c>
      <c r="K62" s="75">
        <f>'Key Business Variables'!C15/'Key Business Variables'!C7</f>
        <v>0</v>
      </c>
      <c r="L62" s="120">
        <f>K62*(1-M62)</f>
        <v>0</v>
      </c>
      <c r="M62" s="183">
        <f>M61</f>
        <v>0.56658786446020482</v>
      </c>
      <c r="N62" s="75">
        <f>K62-L62</f>
        <v>0</v>
      </c>
      <c r="O62" s="183">
        <f>O61</f>
        <v>0.56658786446020482</v>
      </c>
      <c r="P62" s="183">
        <f t="shared" ref="P62:R62" si="6">P61</f>
        <v>0.56658786446020482</v>
      </c>
      <c r="Q62" s="183">
        <f t="shared" si="6"/>
        <v>0.56658786446020482</v>
      </c>
      <c r="R62" s="183">
        <f t="shared" si="6"/>
        <v>0.56658786446020482</v>
      </c>
      <c r="S62" s="182"/>
    </row>
    <row r="63" spans="1:51" hidden="1" x14ac:dyDescent="0.6">
      <c r="A63" s="61" t="s">
        <v>184</v>
      </c>
      <c r="B63" s="67">
        <f>SUM(B32:M32)</f>
        <v>0</v>
      </c>
      <c r="C63" s="67">
        <f>SUM(N32:Y32)</f>
        <v>0</v>
      </c>
      <c r="D63" s="67">
        <f>SUM(Z32:AK32)</f>
        <v>0</v>
      </c>
      <c r="E63" s="67">
        <f>SUM(AL32:AW32)</f>
        <v>0</v>
      </c>
      <c r="F63" s="67">
        <f t="shared" si="4"/>
        <v>0</v>
      </c>
      <c r="G63" s="67"/>
      <c r="K63" s="176" t="s">
        <v>189</v>
      </c>
      <c r="L63" s="177" t="s">
        <v>190</v>
      </c>
      <c r="M63" s="178" t="s">
        <v>90</v>
      </c>
      <c r="N63" s="175" t="s">
        <v>201</v>
      </c>
      <c r="O63" s="148"/>
      <c r="P63" s="148"/>
      <c r="Q63" s="148"/>
      <c r="R63" s="148"/>
    </row>
    <row r="64" spans="1:51" hidden="1" x14ac:dyDescent="0.6">
      <c r="G64" s="67"/>
      <c r="H64" s="67"/>
      <c r="J64" s="76" t="s">
        <v>25</v>
      </c>
      <c r="K64" s="147">
        <f>'Key Business Variables'!C19*'Key Business Variables'!C42/100</f>
        <v>0</v>
      </c>
      <c r="L64" s="147">
        <f>IFERROR((K64*(F69/F61)),0)</f>
        <v>0</v>
      </c>
      <c r="M64" s="174">
        <f>IFERROR((1-(L64/K64)),0)</f>
        <v>0</v>
      </c>
      <c r="N64" s="147">
        <f>K64-L64</f>
        <v>0</v>
      </c>
      <c r="O64" s="185">
        <f>IFERROR(1-(B69/B61),0)</f>
        <v>0</v>
      </c>
      <c r="P64" s="185">
        <f>IFERROR(1-(C69/C61),0)</f>
        <v>0</v>
      </c>
      <c r="Q64" s="185">
        <f>IFERROR(1-(D69/D61),0)</f>
        <v>0</v>
      </c>
      <c r="R64" s="185">
        <f>IFERROR(1-(E69/E61),0)</f>
        <v>0</v>
      </c>
      <c r="S64" s="185" t="e">
        <f>1-(F69/F61)</f>
        <v>#DIV/0!</v>
      </c>
    </row>
    <row r="65" spans="1:49" hidden="1" x14ac:dyDescent="0.6">
      <c r="A65" s="61" t="s">
        <v>23</v>
      </c>
      <c r="B65" s="67">
        <f>SUM(B35:M37)</f>
        <v>40549.080000000009</v>
      </c>
      <c r="C65" s="67">
        <f>SUM(N35:Y37)</f>
        <v>113381.466</v>
      </c>
      <c r="D65" s="67">
        <f>SUM(Z35:AK37)</f>
        <v>189477.83400000015</v>
      </c>
      <c r="E65" s="67">
        <f>SUM(AL35:AW37)</f>
        <v>269538.66599999985</v>
      </c>
      <c r="F65" s="67">
        <f>SUM(B65:E65)</f>
        <v>612947.04599999997</v>
      </c>
      <c r="G65" s="67"/>
      <c r="H65" s="67"/>
      <c r="J65" s="76" t="s">
        <v>132</v>
      </c>
      <c r="K65" s="170">
        <f>'Key Business Variables'!C20*'Key Business Variables'!C43/100</f>
        <v>0</v>
      </c>
      <c r="L65" s="170">
        <f>IFERROR((K65*(1-'Key Business Variables'!C25)),0)</f>
        <v>0</v>
      </c>
      <c r="M65" s="174">
        <f>IFERROR((1-(L65/K65)),0)</f>
        <v>0</v>
      </c>
      <c r="N65" s="147">
        <f>K65-L65</f>
        <v>0</v>
      </c>
      <c r="O65" s="184">
        <f>$M65</f>
        <v>0</v>
      </c>
      <c r="P65" s="184">
        <f>$M65</f>
        <v>0</v>
      </c>
      <c r="Q65" s="184">
        <f>$M65</f>
        <v>0</v>
      </c>
      <c r="R65" s="184">
        <f>$M65</f>
        <v>0</v>
      </c>
      <c r="S65" s="184">
        <f>$M65</f>
        <v>0</v>
      </c>
    </row>
    <row r="66" spans="1:49" hidden="1" x14ac:dyDescent="0.6">
      <c r="A66" s="61" t="s">
        <v>55</v>
      </c>
      <c r="B66" s="67">
        <f>SUM(B38:M38)</f>
        <v>2340</v>
      </c>
      <c r="C66" s="67">
        <f>SUM(N38:Y38)</f>
        <v>6660</v>
      </c>
      <c r="D66" s="67">
        <f>SUM(Z38:AK38)</f>
        <v>10979.999999999998</v>
      </c>
      <c r="E66" s="67">
        <f>SUM(AL38:AW38)</f>
        <v>15299.999999999998</v>
      </c>
      <c r="F66" s="67">
        <f t="shared" ref="F66" si="7">SUM(B66:E66)</f>
        <v>35280</v>
      </c>
      <c r="G66" s="67"/>
      <c r="H66" s="67"/>
      <c r="J66" s="76" t="s">
        <v>31</v>
      </c>
      <c r="M66" s="183">
        <f>IFERROR(1-(F67/F60),0)</f>
        <v>0.56658786446020482</v>
      </c>
      <c r="S66" s="183">
        <f>1-(F67/F60)</f>
        <v>0.56658786446020482</v>
      </c>
    </row>
    <row r="67" spans="1:49" hidden="1" x14ac:dyDescent="0.6">
      <c r="A67" s="61" t="s">
        <v>61</v>
      </c>
      <c r="B67" s="67">
        <f>SUM(B39:M41)</f>
        <v>55000.000000000007</v>
      </c>
      <c r="C67" s="67">
        <f>SUM(N39:Y41)</f>
        <v>55000.000000000007</v>
      </c>
      <c r="D67" s="67">
        <f>SUM(Z39:AK41)</f>
        <v>55000.000000000007</v>
      </c>
      <c r="E67" s="67">
        <f>SUM(AL39:AW41)</f>
        <v>55000.000000000007</v>
      </c>
      <c r="F67" s="67">
        <f>SUM(B67:E67)</f>
        <v>220000.00000000003</v>
      </c>
      <c r="G67" s="67"/>
      <c r="H67" s="67"/>
      <c r="J67" s="76" t="s">
        <v>185</v>
      </c>
      <c r="K67" s="149">
        <f>'Key Business Variables'!C21*'Key Business Variables'!C44/100</f>
        <v>0</v>
      </c>
      <c r="L67" s="77">
        <f>IFERROR((K67*(F68/F63)),0)</f>
        <v>0</v>
      </c>
      <c r="M67" s="181">
        <f>IFERROR((1-(L67/K67)),0)</f>
        <v>0</v>
      </c>
      <c r="N67" s="149">
        <f>K67-L67</f>
        <v>0</v>
      </c>
      <c r="O67" s="185">
        <f>IFERROR(1-(B68/B63),0)</f>
        <v>0</v>
      </c>
      <c r="P67" s="185">
        <f>IFERROR(1-(C68/C63),0)</f>
        <v>0</v>
      </c>
      <c r="Q67" s="185">
        <f>IFERROR(1-(D68/D63),0)</f>
        <v>0</v>
      </c>
      <c r="R67" s="185">
        <f>IFERROR(1-(E68/E63),0)</f>
        <v>0</v>
      </c>
      <c r="S67" s="185">
        <f>IFERROR(1-(F68/F63),0)</f>
        <v>0</v>
      </c>
    </row>
    <row r="68" spans="1:49" hidden="1" x14ac:dyDescent="0.6">
      <c r="A68" s="58" t="s">
        <v>186</v>
      </c>
      <c r="B68" s="67">
        <f>SUM(B42:M42)</f>
        <v>0</v>
      </c>
      <c r="C68" s="67">
        <f>SUM(N42:Y42)</f>
        <v>0</v>
      </c>
      <c r="D68" s="67">
        <f>SUM(Z42:AK42)</f>
        <v>0</v>
      </c>
      <c r="E68" s="67">
        <f>SUM(AL42:AW42)</f>
        <v>0</v>
      </c>
      <c r="F68" s="67">
        <f>SUM(B68:E68)</f>
        <v>0</v>
      </c>
      <c r="H68" s="67"/>
      <c r="K68" s="75">
        <f>SUM(K64:K67)</f>
        <v>0</v>
      </c>
      <c r="L68" s="75">
        <f>SUM(L64:L67)</f>
        <v>0</v>
      </c>
      <c r="M68" s="174">
        <f>IFERROR((1-(L68/K68)),0)</f>
        <v>0</v>
      </c>
      <c r="N68" s="147">
        <f>K68-L68</f>
        <v>0</v>
      </c>
    </row>
    <row r="69" spans="1:49" hidden="1" x14ac:dyDescent="0.6">
      <c r="A69" s="61" t="s">
        <v>115</v>
      </c>
      <c r="B69" s="67">
        <f>SUM(B43:M43)</f>
        <v>0</v>
      </c>
      <c r="C69" s="67">
        <f>SUM(N43:Y43)</f>
        <v>0</v>
      </c>
      <c r="D69" s="67">
        <f>SUM(Z43:AK43)</f>
        <v>0</v>
      </c>
      <c r="E69" s="67">
        <f>SUM(AL43:AW43)</f>
        <v>0</v>
      </c>
      <c r="F69" s="67">
        <f>SUM(B69:E69)</f>
        <v>0</v>
      </c>
      <c r="G69" s="67"/>
      <c r="H69" s="67"/>
    </row>
    <row r="70" spans="1:49" hidden="1" x14ac:dyDescent="0.6">
      <c r="G70" s="67"/>
      <c r="H70" s="67"/>
      <c r="J70" s="179" t="s">
        <v>196</v>
      </c>
      <c r="K70" s="179"/>
      <c r="L70" s="258" t="s">
        <v>209</v>
      </c>
      <c r="M70" s="258"/>
      <c r="N70" s="258"/>
      <c r="O70" s="258"/>
    </row>
    <row r="71" spans="1:49" hidden="1" x14ac:dyDescent="0.6">
      <c r="A71" s="68" t="s">
        <v>27</v>
      </c>
      <c r="B71" s="67">
        <f>SUM(B45:M49)</f>
        <v>112163.11999999997</v>
      </c>
      <c r="C71" s="67">
        <f>SUM(N45:Y49)</f>
        <v>127728.17600000001</v>
      </c>
      <c r="D71" s="67">
        <f>SUM(Z45:AK49)</f>
        <v>155685.41120000009</v>
      </c>
      <c r="E71" s="67">
        <f>SUM(AL45:AW49)</f>
        <v>182984.12479999996</v>
      </c>
      <c r="F71" s="67">
        <f>SUM(B71:E71)</f>
        <v>578560.83200000005</v>
      </c>
      <c r="G71" s="67"/>
      <c r="H71" s="67"/>
      <c r="J71" s="73" t="s">
        <v>36</v>
      </c>
      <c r="K71" s="73" t="s">
        <v>37</v>
      </c>
      <c r="L71" s="73" t="s">
        <v>36</v>
      </c>
      <c r="M71" s="73" t="s">
        <v>206</v>
      </c>
      <c r="N71" s="73" t="s">
        <v>207</v>
      </c>
      <c r="O71" s="73" t="s">
        <v>208</v>
      </c>
    </row>
    <row r="72" spans="1:49" hidden="1" x14ac:dyDescent="0.6">
      <c r="A72" s="68" t="s">
        <v>66</v>
      </c>
      <c r="B72" s="67">
        <f>SUM(B50:M50)</f>
        <v>0</v>
      </c>
      <c r="C72" s="67">
        <f>SUM(N50:Y50)</f>
        <v>0</v>
      </c>
      <c r="D72" s="67">
        <f>SUM(Z50:AK50)</f>
        <v>0</v>
      </c>
      <c r="E72" s="67">
        <f>SUM(AL50:AW50)</f>
        <v>0</v>
      </c>
      <c r="G72" s="67"/>
      <c r="H72" s="67"/>
      <c r="I72" s="74" t="s">
        <v>30</v>
      </c>
      <c r="J72" s="147">
        <f>('Key Business Variables'!C11+'Key Business Variables'!C12)*'Core Calculations'!K59*12</f>
        <v>5328</v>
      </c>
      <c r="K72" s="147">
        <f>J72</f>
        <v>5328</v>
      </c>
      <c r="L72" s="147">
        <f>$J72*(O59)</f>
        <v>1935.8399999999997</v>
      </c>
      <c r="M72" s="147">
        <f>$K72*(P59)</f>
        <v>1935.8399999999997</v>
      </c>
      <c r="N72" s="147">
        <f>$K72*(Q59)</f>
        <v>1935.8399999999997</v>
      </c>
      <c r="O72" s="147">
        <f>$K72*(R59)</f>
        <v>1935.8399999999997</v>
      </c>
    </row>
    <row r="73" spans="1:49" hidden="1" x14ac:dyDescent="0.6">
      <c r="A73" s="101" t="s">
        <v>67</v>
      </c>
      <c r="B73" s="67">
        <f>SUM(B51:M51)</f>
        <v>0</v>
      </c>
      <c r="C73" s="67">
        <f>SUM(N51:Y51)</f>
        <v>0</v>
      </c>
      <c r="D73" s="67">
        <f>SUM(Z51:AK51)</f>
        <v>0</v>
      </c>
      <c r="E73" s="67">
        <f>SUM(AL51:AW51)</f>
        <v>0</v>
      </c>
      <c r="H73" s="67"/>
      <c r="I73" s="76" t="s">
        <v>25</v>
      </c>
      <c r="J73" s="147">
        <f>('Key Business Variables'!C11+'Key Business Variables'!C12)*'Key Business Variables'!C19*12*'Key Business Variables'!J23</f>
        <v>0</v>
      </c>
      <c r="K73" s="147">
        <f>J73</f>
        <v>0</v>
      </c>
      <c r="L73" s="147">
        <f>$J73*O64</f>
        <v>0</v>
      </c>
      <c r="M73" s="147">
        <f t="shared" ref="M73:O74" si="8">$K73*P64</f>
        <v>0</v>
      </c>
      <c r="N73" s="147">
        <f t="shared" si="8"/>
        <v>0</v>
      </c>
      <c r="O73" s="147">
        <f t="shared" si="8"/>
        <v>0</v>
      </c>
    </row>
    <row r="74" spans="1:49" hidden="1" x14ac:dyDescent="0.6">
      <c r="A74" s="102" t="s">
        <v>68</v>
      </c>
      <c r="B74" s="67">
        <f>SUM(B52:M52)</f>
        <v>0</v>
      </c>
      <c r="C74" s="67">
        <f>SUM(N52:Y52)</f>
        <v>0</v>
      </c>
      <c r="D74" s="67">
        <f>SUM(Z52:AK52)</f>
        <v>0</v>
      </c>
      <c r="E74" s="67">
        <f>SUM(AL52:AW52)</f>
        <v>0</v>
      </c>
      <c r="I74" s="76" t="s">
        <v>132</v>
      </c>
      <c r="J74" s="147">
        <f>('Key Business Variables'!C11+'Key Business Variables'!C12)*'Key Business Variables'!C20*12*'Key Business Variables'!J26</f>
        <v>0</v>
      </c>
      <c r="K74" s="147">
        <f>J74</f>
        <v>0</v>
      </c>
      <c r="L74" s="147">
        <f>$J74*O65</f>
        <v>0</v>
      </c>
      <c r="M74" s="147">
        <f t="shared" si="8"/>
        <v>0</v>
      </c>
      <c r="N74" s="147">
        <f t="shared" si="8"/>
        <v>0</v>
      </c>
      <c r="O74" s="147">
        <f t="shared" si="8"/>
        <v>0</v>
      </c>
    </row>
    <row r="75" spans="1:49" hidden="1" x14ac:dyDescent="0.6">
      <c r="I75" s="76" t="s">
        <v>31</v>
      </c>
      <c r="J75" s="170">
        <f>'Key Business Variables'!C14</f>
        <v>8460</v>
      </c>
      <c r="K75" s="170">
        <f>'Key Business Variables'!C16</f>
        <v>0</v>
      </c>
      <c r="L75" s="147">
        <f>$J75*M61</f>
        <v>4793.333333333333</v>
      </c>
      <c r="M75" s="147"/>
      <c r="N75" s="147"/>
      <c r="O75" s="147"/>
    </row>
    <row r="76" spans="1:49" hidden="1" x14ac:dyDescent="0.6">
      <c r="B76" s="67">
        <f>SUM(B59:B63)-SUM(B65:B69)</f>
        <v>93865.319999999978</v>
      </c>
      <c r="C76" s="67">
        <f>SUM(C59:C63)-SUM(C65:C69)</f>
        <v>133201.41399999999</v>
      </c>
      <c r="D76" s="67">
        <f>SUM(D59:D63)-SUM(D65:D69)</f>
        <v>166529.68600000005</v>
      </c>
      <c r="E76" s="67">
        <f>SUM(E59:E63)-SUM(E65:E69)</f>
        <v>195893.49400000053</v>
      </c>
      <c r="I76" s="76" t="s">
        <v>185</v>
      </c>
      <c r="J76" s="149">
        <f>('Key Business Variables'!C11+'Key Business Variables'!C12)*'Key Business Variables'!C21*12*'Key Business Variables'!J29</f>
        <v>0</v>
      </c>
      <c r="K76" s="149">
        <f>J76</f>
        <v>0</v>
      </c>
      <c r="L76" s="149">
        <f>$J76*O67</f>
        <v>0</v>
      </c>
      <c r="M76" s="149">
        <f>$K76*P67</f>
        <v>0</v>
      </c>
      <c r="N76" s="149">
        <f>$K76*Q67</f>
        <v>0</v>
      </c>
      <c r="O76" s="149">
        <f>$K76*R67</f>
        <v>0</v>
      </c>
    </row>
    <row r="77" spans="1:49" hidden="1" x14ac:dyDescent="0.6">
      <c r="J77" s="147">
        <f>SUM(J72:J76)</f>
        <v>13788</v>
      </c>
      <c r="K77" s="147">
        <f>SUM(K72:K76)</f>
        <v>5328</v>
      </c>
      <c r="L77" s="147">
        <f>SUM(L72:L76)</f>
        <v>6729.1733333333323</v>
      </c>
      <c r="M77" s="147">
        <f t="shared" ref="M77:O77" si="9">SUM(M72:M76)</f>
        <v>1935.8399999999997</v>
      </c>
      <c r="N77" s="147">
        <f t="shared" si="9"/>
        <v>1935.8399999999997</v>
      </c>
      <c r="O77" s="147">
        <f t="shared" si="9"/>
        <v>1935.8399999999997</v>
      </c>
    </row>
    <row r="78" spans="1:49" hidden="1" x14ac:dyDescent="0.6">
      <c r="J78" s="147"/>
      <c r="K78" s="186" t="s">
        <v>217</v>
      </c>
      <c r="L78" s="147">
        <f>J77</f>
        <v>13788</v>
      </c>
      <c r="M78" s="147">
        <f>L78+$K$77</f>
        <v>19116</v>
      </c>
      <c r="N78" s="147">
        <f t="shared" ref="N78:O78" si="10">M78+$K$77</f>
        <v>24444</v>
      </c>
      <c r="O78" s="147">
        <f t="shared" si="10"/>
        <v>29772</v>
      </c>
    </row>
    <row r="79" spans="1:49" hidden="1" x14ac:dyDescent="0.6">
      <c r="B79" s="67">
        <f>B76-SUM(B71:B72)</f>
        <v>-18297.799999999988</v>
      </c>
      <c r="C79" s="67">
        <f t="shared" ref="C79:E79" si="11">C76-SUM(C71:C72)</f>
        <v>5473.237999999983</v>
      </c>
      <c r="D79" s="67">
        <f t="shared" si="11"/>
        <v>10844.274799999956</v>
      </c>
      <c r="E79" s="67">
        <f t="shared" si="11"/>
        <v>12909.369200000569</v>
      </c>
      <c r="J79" s="148"/>
      <c r="K79" s="186" t="s">
        <v>212</v>
      </c>
      <c r="L79" s="75">
        <f>L77</f>
        <v>6729.1733333333323</v>
      </c>
      <c r="M79" s="75">
        <f>L79+M77</f>
        <v>8665.0133333333324</v>
      </c>
      <c r="N79" s="75">
        <f t="shared" ref="N79:O79" si="12">M79+N77</f>
        <v>10600.853333333333</v>
      </c>
      <c r="O79" s="75">
        <f t="shared" si="12"/>
        <v>12536.693333333333</v>
      </c>
    </row>
    <row r="80" spans="1:49" hidden="1" x14ac:dyDescent="0.6">
      <c r="B80" s="67"/>
      <c r="C80" s="67"/>
      <c r="D80" s="67"/>
      <c r="E80" s="67"/>
      <c r="F80" s="67"/>
      <c r="G80" s="67"/>
      <c r="H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</row>
    <row r="81" spans="9:18" hidden="1" x14ac:dyDescent="0.6">
      <c r="J81" s="179" t="s">
        <v>197</v>
      </c>
      <c r="K81" s="179"/>
      <c r="L81" s="258" t="s">
        <v>210</v>
      </c>
      <c r="M81" s="258"/>
      <c r="N81" s="258"/>
      <c r="O81" s="258"/>
    </row>
    <row r="82" spans="9:18" hidden="1" x14ac:dyDescent="0.6">
      <c r="J82" s="73" t="s">
        <v>36</v>
      </c>
      <c r="K82" s="73" t="s">
        <v>37</v>
      </c>
      <c r="L82" s="73" t="s">
        <v>36</v>
      </c>
      <c r="M82" s="73" t="s">
        <v>206</v>
      </c>
      <c r="N82" s="73" t="s">
        <v>207</v>
      </c>
      <c r="O82" s="73" t="s">
        <v>208</v>
      </c>
    </row>
    <row r="83" spans="9:18" hidden="1" x14ac:dyDescent="0.6">
      <c r="I83" s="74" t="s">
        <v>30</v>
      </c>
      <c r="J83" s="147">
        <f>'Key Business Variables'!C7*'Key Business Variables'!C9*'Core Calculations'!K60*12</f>
        <v>7962.239999999998</v>
      </c>
      <c r="K83" s="147">
        <f>J83</f>
        <v>7962.239999999998</v>
      </c>
      <c r="L83" s="147">
        <f>$J83*(O59)</f>
        <v>2892.9471999999987</v>
      </c>
      <c r="M83" s="147">
        <f>$K83*(P59)</f>
        <v>2892.9471999999987</v>
      </c>
      <c r="N83" s="147">
        <f>$K83*(Q59)</f>
        <v>2892.9471999999987</v>
      </c>
      <c r="O83" s="147">
        <f>$K83*(R59)</f>
        <v>2892.9471999999987</v>
      </c>
      <c r="P83" s="67"/>
      <c r="Q83" s="67"/>
      <c r="R83" s="67"/>
    </row>
    <row r="84" spans="9:18" hidden="1" x14ac:dyDescent="0.6">
      <c r="I84" s="76" t="s">
        <v>25</v>
      </c>
      <c r="J84" s="147">
        <f>'Key Business Variables'!C7*'Key Business Variables'!C9*'Key Business Variables'!C19*12*'Key Business Variables'!J23</f>
        <v>0</v>
      </c>
      <c r="K84" s="147">
        <f>J84</f>
        <v>0</v>
      </c>
      <c r="L84" s="147">
        <f>$J84*O64</f>
        <v>0</v>
      </c>
      <c r="M84" s="147">
        <f t="shared" ref="M84:O85" si="13">$K84*P64</f>
        <v>0</v>
      </c>
      <c r="N84" s="147">
        <f t="shared" si="13"/>
        <v>0</v>
      </c>
      <c r="O84" s="147">
        <f t="shared" si="13"/>
        <v>0</v>
      </c>
    </row>
    <row r="85" spans="9:18" hidden="1" x14ac:dyDescent="0.6">
      <c r="I85" s="76" t="s">
        <v>132</v>
      </c>
      <c r="J85" s="147">
        <f>'Key Business Variables'!C7*'Key Business Variables'!C9*'Key Business Variables'!C20*12*'Key Business Variables'!J26</f>
        <v>0</v>
      </c>
      <c r="K85" s="147">
        <f>J85</f>
        <v>0</v>
      </c>
      <c r="L85" s="147">
        <f>$J85*O65</f>
        <v>0</v>
      </c>
      <c r="M85" s="147">
        <f t="shared" si="13"/>
        <v>0</v>
      </c>
      <c r="N85" s="147">
        <f t="shared" si="13"/>
        <v>0</v>
      </c>
      <c r="O85" s="147">
        <f t="shared" si="13"/>
        <v>0</v>
      </c>
    </row>
    <row r="86" spans="9:18" hidden="1" x14ac:dyDescent="0.6">
      <c r="I86" s="76" t="s">
        <v>31</v>
      </c>
      <c r="J86" s="170">
        <f>'Key Business Variables'!C15</f>
        <v>0</v>
      </c>
      <c r="K86" s="170">
        <f>'Key Business Variables'!C16</f>
        <v>0</v>
      </c>
      <c r="L86" s="170">
        <f>$J86*M62</f>
        <v>0</v>
      </c>
      <c r="M86" s="170"/>
    </row>
    <row r="87" spans="9:18" hidden="1" x14ac:dyDescent="0.6">
      <c r="I87" s="76" t="s">
        <v>185</v>
      </c>
      <c r="J87" s="149">
        <f>'Key Business Variables'!C7*'Key Business Variables'!C9*'Key Business Variables'!C21*12*'Key Business Variables'!J29</f>
        <v>0</v>
      </c>
      <c r="K87" s="149">
        <f>J87</f>
        <v>0</v>
      </c>
      <c r="L87" s="149">
        <f>$J87*O67</f>
        <v>0</v>
      </c>
      <c r="M87" s="149">
        <f>$K87*P67</f>
        <v>0</v>
      </c>
      <c r="N87" s="149">
        <f>$K87*Q67</f>
        <v>0</v>
      </c>
      <c r="O87" s="149">
        <f>$K87*R67</f>
        <v>0</v>
      </c>
    </row>
    <row r="88" spans="9:18" hidden="1" x14ac:dyDescent="0.6">
      <c r="J88" s="147">
        <f>SUM(J83:J87)</f>
        <v>7962.239999999998</v>
      </c>
      <c r="K88" s="147">
        <f>SUM(K83:K87)</f>
        <v>7962.239999999998</v>
      </c>
      <c r="L88" s="147">
        <f>SUM(L83:L87)</f>
        <v>2892.9471999999987</v>
      </c>
      <c r="M88" s="147">
        <f t="shared" ref="M88:O88" si="14">SUM(M83:M87)</f>
        <v>2892.9471999999987</v>
      </c>
      <c r="N88" s="147">
        <f t="shared" si="14"/>
        <v>2892.9471999999987</v>
      </c>
      <c r="O88" s="147">
        <f t="shared" si="14"/>
        <v>2892.9471999999987</v>
      </c>
    </row>
    <row r="89" spans="9:18" hidden="1" x14ac:dyDescent="0.6">
      <c r="J89" s="147"/>
      <c r="K89" s="186" t="s">
        <v>217</v>
      </c>
      <c r="L89" s="147">
        <f>J88</f>
        <v>7962.239999999998</v>
      </c>
      <c r="M89" s="147">
        <f>L89+$K$88</f>
        <v>15924.479999999996</v>
      </c>
      <c r="N89" s="147">
        <f t="shared" ref="N89:O89" si="15">M89+$K$88</f>
        <v>23886.719999999994</v>
      </c>
      <c r="O89" s="147">
        <f t="shared" si="15"/>
        <v>31848.959999999992</v>
      </c>
    </row>
    <row r="90" spans="9:18" hidden="1" x14ac:dyDescent="0.6">
      <c r="K90" s="186" t="s">
        <v>212</v>
      </c>
      <c r="L90" s="75">
        <f>L88</f>
        <v>2892.9471999999987</v>
      </c>
      <c r="M90" s="75">
        <f>L90+M88</f>
        <v>5785.8943999999974</v>
      </c>
      <c r="N90" s="75">
        <f t="shared" ref="N90" si="16">M90+N88</f>
        <v>8678.8415999999961</v>
      </c>
      <c r="O90" s="75">
        <f t="shared" ref="O90" si="17">N90+O88</f>
        <v>11571.788799999995</v>
      </c>
    </row>
    <row r="91" spans="9:18" hidden="1" x14ac:dyDescent="0.6"/>
    <row r="92" spans="9:18" hidden="1" x14ac:dyDescent="0.6">
      <c r="I92" s="76" t="s">
        <v>218</v>
      </c>
      <c r="J92" s="147">
        <f>F71/(SUM('Fine Tuning'!B4:AW4)+SUM('Fine Tuning'!B6:AW6))</f>
        <v>7232.010400000001</v>
      </c>
    </row>
    <row r="93" spans="9:18" hidden="1" x14ac:dyDescent="0.6">
      <c r="I93" s="76" t="s">
        <v>221</v>
      </c>
      <c r="J93" s="147"/>
    </row>
    <row r="94" spans="9:18" hidden="1" x14ac:dyDescent="0.6">
      <c r="I94" s="76" t="s">
        <v>222</v>
      </c>
      <c r="J94" s="147"/>
    </row>
    <row r="95" spans="9:18" hidden="1" x14ac:dyDescent="0.6"/>
    <row r="96" spans="9:18" hidden="1" x14ac:dyDescent="0.6"/>
  </sheetData>
  <sheetProtection algorithmName="SHA-512" hashValue="rCqv+ucaD7p/S15wOMWaz5LX9Br7B2ySDfNm3zZgK4nuhUiOJyNKaPIZuVG6sbrSWQqDVHJy/MSowLxB4yQIhA==" saltValue="Ylpls4FQ0dH4dpGA7VIzKA==" spinCount="100000" sheet="1" objects="1" scenarios="1"/>
  <mergeCells count="3">
    <mergeCell ref="L81:O81"/>
    <mergeCell ref="L70:O70"/>
    <mergeCell ref="B1:AW1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N62 K75 L79:O80 K86 L75:O77 M66 L82:O87 M81:O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Key Business Variables</vt:lpstr>
      <vt:lpstr>P&amp;L Impact Detail</vt:lpstr>
      <vt:lpstr>Cash Flow Impact</vt:lpstr>
      <vt:lpstr>Deal Anatomies</vt:lpstr>
      <vt:lpstr>Breakeven</vt:lpstr>
      <vt:lpstr>Users</vt:lpstr>
      <vt:lpstr>Sample Partner</vt:lpstr>
      <vt:lpstr>Fine Tuning</vt:lpstr>
      <vt:lpstr>Core Calculations</vt:lpstr>
      <vt:lpstr>Valuation 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Willmer</dc:creator>
  <dc:description>© CloudSpeed 2018. All rights reserved.</dc:description>
  <cp:lastModifiedBy>Dana Willmer</cp:lastModifiedBy>
  <cp:lastPrinted>2011-05-31T20:13:44Z</cp:lastPrinted>
  <dcterms:created xsi:type="dcterms:W3CDTF">2010-11-09T18:01:08Z</dcterms:created>
  <dcterms:modified xsi:type="dcterms:W3CDTF">2019-01-16T17:31:03Z</dcterms:modified>
</cp:coreProperties>
</file>