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mc:AlternateContent xmlns:mc="http://schemas.openxmlformats.org/markup-compatibility/2006">
    <mc:Choice Requires="x15">
      <x15ac:absPath xmlns:x15ac="http://schemas.microsoft.com/office/spreadsheetml/2010/11/ac" url="C:\Users\danaw\Dropbox\Work\CloudSpeed\Financial Models\"/>
    </mc:Choice>
  </mc:AlternateContent>
  <bookViews>
    <workbookView xWindow="480" yWindow="3045" windowWidth="14880" windowHeight="5100" tabRatio="965" activeTab="1"/>
  </bookViews>
  <sheets>
    <sheet name="Definitions" sheetId="56" r:id="rId1"/>
    <sheet name="Key Variables" sheetId="44" r:id="rId2"/>
    <sheet name="P&amp;L Impact" sheetId="30" r:id="rId3"/>
    <sheet name="Customers" sheetId="52" r:id="rId4"/>
    <sheet name="Cash Flow" sheetId="39" r:id="rId5"/>
    <sheet name="Core Calculations" sheetId="31" state="hidden" r:id="rId6"/>
  </sheets>
  <definedNames>
    <definedName name="PaymentFrequency">'Key Variables'!#REF!</definedName>
    <definedName name="rationalize">#REF!</definedName>
  </definedNames>
  <calcPr calcId="171027"/>
</workbook>
</file>

<file path=xl/calcChain.xml><?xml version="1.0" encoding="utf-8"?>
<calcChain xmlns="http://schemas.openxmlformats.org/spreadsheetml/2006/main">
  <c r="K23" i="30" l="1"/>
  <c r="I23" i="30"/>
  <c r="G23" i="30"/>
  <c r="E23" i="30"/>
  <c r="B4" i="31" l="1"/>
  <c r="B5" i="31" s="1"/>
  <c r="C4" i="31"/>
  <c r="D4" i="31"/>
  <c r="E4" i="31"/>
  <c r="F4" i="31"/>
  <c r="G4" i="31"/>
  <c r="G10" i="31" s="1"/>
  <c r="H4" i="31"/>
  <c r="H10" i="31" s="1"/>
  <c r="I4" i="31"/>
  <c r="I10" i="31" s="1"/>
  <c r="J4" i="31"/>
  <c r="K4" i="31"/>
  <c r="K10" i="31" s="1"/>
  <c r="L4" i="31"/>
  <c r="L10" i="31" s="1"/>
  <c r="M4" i="31"/>
  <c r="M10" i="31" s="1"/>
  <c r="B10" i="31"/>
  <c r="C10" i="31"/>
  <c r="F10" i="31"/>
  <c r="J10" i="31"/>
  <c r="B19" i="31"/>
  <c r="B23" i="31"/>
  <c r="C19" i="31"/>
  <c r="C23" i="31"/>
  <c r="D19" i="31"/>
  <c r="D23" i="31"/>
  <c r="E19" i="31"/>
  <c r="E23" i="31"/>
  <c r="F19" i="31"/>
  <c r="F23" i="31"/>
  <c r="G19" i="31"/>
  <c r="G23" i="31"/>
  <c r="N4" i="31"/>
  <c r="N10" i="31" s="1"/>
  <c r="O4" i="31"/>
  <c r="P4" i="31"/>
  <c r="P10" i="31" s="1"/>
  <c r="Q4" i="31"/>
  <c r="Q10" i="31" s="1"/>
  <c r="R4" i="31"/>
  <c r="R10" i="31" s="1"/>
  <c r="S4" i="31"/>
  <c r="T4" i="31"/>
  <c r="T10" i="31" s="1"/>
  <c r="U4" i="31"/>
  <c r="U10" i="31" s="1"/>
  <c r="V4" i="31"/>
  <c r="V10" i="31" s="1"/>
  <c r="W4" i="31"/>
  <c r="X4" i="31"/>
  <c r="X10" i="31" s="1"/>
  <c r="Y4" i="31"/>
  <c r="Y10" i="31" s="1"/>
  <c r="Z4" i="31"/>
  <c r="Z10" i="31" s="1"/>
  <c r="AA4" i="31"/>
  <c r="AB4" i="31"/>
  <c r="AB10" i="31" s="1"/>
  <c r="AC4" i="31"/>
  <c r="AC10" i="31" s="1"/>
  <c r="AD4" i="31"/>
  <c r="AD10" i="31" s="1"/>
  <c r="AE4" i="31"/>
  <c r="AE10" i="31" s="1"/>
  <c r="AF4" i="31"/>
  <c r="AF10" i="31" s="1"/>
  <c r="AG4" i="31"/>
  <c r="AG10" i="31" s="1"/>
  <c r="AH4" i="31"/>
  <c r="AH10" i="31" s="1"/>
  <c r="AI4" i="31"/>
  <c r="AI10" i="31" s="1"/>
  <c r="AJ4" i="31"/>
  <c r="AJ10" i="31" s="1"/>
  <c r="AK4" i="31"/>
  <c r="AK10" i="31" s="1"/>
  <c r="AL4" i="31"/>
  <c r="AL10" i="31" s="1"/>
  <c r="AM4" i="31"/>
  <c r="AN4" i="31"/>
  <c r="AN10" i="31" s="1"/>
  <c r="AO4" i="31"/>
  <c r="AO10" i="31" s="1"/>
  <c r="AP4" i="31"/>
  <c r="AQ4" i="31"/>
  <c r="AQ10" i="31" s="1"/>
  <c r="AR4" i="31"/>
  <c r="AR10" i="31" s="1"/>
  <c r="AS4" i="31"/>
  <c r="AS10" i="31" s="1"/>
  <c r="AT4" i="31"/>
  <c r="AT10" i="31" s="1"/>
  <c r="AU4" i="31"/>
  <c r="AU10" i="31" s="1"/>
  <c r="AV4" i="31"/>
  <c r="AV10" i="31" s="1"/>
  <c r="AW4" i="31"/>
  <c r="AW10" i="31" s="1"/>
  <c r="AP10" i="31"/>
  <c r="H14" i="44"/>
  <c r="I84" i="30"/>
  <c r="K104" i="30"/>
  <c r="I107" i="30" s="1"/>
  <c r="K103" i="30"/>
  <c r="I106" i="30" s="1"/>
  <c r="H17" i="44"/>
  <c r="B45" i="39"/>
  <c r="AW23" i="31"/>
  <c r="AV23" i="31"/>
  <c r="AU23" i="31"/>
  <c r="AT23" i="31"/>
  <c r="AS23" i="31"/>
  <c r="AR23" i="31"/>
  <c r="AQ23" i="31"/>
  <c r="AP23" i="31"/>
  <c r="AO23" i="31"/>
  <c r="AN23" i="31"/>
  <c r="AM23" i="31"/>
  <c r="AL23" i="31"/>
  <c r="E46" i="31" s="1"/>
  <c r="AK23" i="31"/>
  <c r="AJ23" i="31"/>
  <c r="AI23" i="31"/>
  <c r="AH23" i="31"/>
  <c r="AG23" i="31"/>
  <c r="AF23" i="31"/>
  <c r="AE23" i="31"/>
  <c r="AD23" i="31"/>
  <c r="AC23" i="31"/>
  <c r="AB23" i="31"/>
  <c r="AA23" i="31"/>
  <c r="Z23" i="31"/>
  <c r="D46" i="31" s="1"/>
  <c r="Y23" i="31"/>
  <c r="X23" i="31"/>
  <c r="W23" i="31"/>
  <c r="V23" i="31"/>
  <c r="U23" i="31"/>
  <c r="T23" i="31"/>
  <c r="S23" i="31"/>
  <c r="R23" i="31"/>
  <c r="Q23" i="31"/>
  <c r="P23" i="31"/>
  <c r="O23" i="31"/>
  <c r="N23" i="31"/>
  <c r="C46" i="31" s="1"/>
  <c r="M23" i="31"/>
  <c r="L23" i="31"/>
  <c r="K23" i="31"/>
  <c r="J23" i="31"/>
  <c r="I23" i="31"/>
  <c r="H23" i="31"/>
  <c r="E86" i="30"/>
  <c r="E89" i="30"/>
  <c r="G86" i="30"/>
  <c r="G89" i="30"/>
  <c r="I86" i="30"/>
  <c r="I89" i="30"/>
  <c r="K86" i="30"/>
  <c r="K89" i="30"/>
  <c r="B46" i="31" l="1"/>
  <c r="AO16" i="31"/>
  <c r="AC16" i="31"/>
  <c r="Q16" i="31"/>
  <c r="J16" i="31"/>
  <c r="AR16" i="31"/>
  <c r="T16" i="31"/>
  <c r="AW16" i="31"/>
  <c r="AK16" i="31"/>
  <c r="U16" i="31"/>
  <c r="M16" i="31"/>
  <c r="AN16" i="31"/>
  <c r="X16" i="31"/>
  <c r="P16" i="31"/>
  <c r="F16" i="31"/>
  <c r="L16" i="31"/>
  <c r="H16" i="31"/>
  <c r="AU16" i="31"/>
  <c r="AQ16" i="31"/>
  <c r="AI16" i="31"/>
  <c r="AE16" i="31"/>
  <c r="C16" i="31"/>
  <c r="K16" i="31"/>
  <c r="G16" i="31"/>
  <c r="AS16" i="31"/>
  <c r="AG16" i="31"/>
  <c r="Y16" i="31"/>
  <c r="I16" i="31"/>
  <c r="AV16" i="31"/>
  <c r="AP16" i="31"/>
  <c r="AT16" i="31"/>
  <c r="AH16" i="31"/>
  <c r="AD16" i="31"/>
  <c r="Z16" i="31"/>
  <c r="V16" i="31"/>
  <c r="R16" i="31"/>
  <c r="N16" i="31"/>
  <c r="B16" i="31"/>
  <c r="H13" i="31"/>
  <c r="B14" i="31"/>
  <c r="J106" i="30"/>
  <c r="J107" i="30"/>
  <c r="E84" i="30"/>
  <c r="G84" i="30"/>
  <c r="K84" i="30"/>
  <c r="E10" i="31"/>
  <c r="B8" i="31"/>
  <c r="B12" i="31" s="1"/>
  <c r="D10" i="31"/>
  <c r="C5" i="31"/>
  <c r="B7" i="31"/>
  <c r="B11" i="31" s="1"/>
  <c r="W10" i="31"/>
  <c r="S10" i="31"/>
  <c r="O10" i="31"/>
  <c r="AM10" i="31"/>
  <c r="AA10" i="31"/>
  <c r="AJ16" i="31"/>
  <c r="AF16" i="31"/>
  <c r="AB16" i="31"/>
  <c r="AL16" i="31"/>
  <c r="AA16" i="31" l="1"/>
  <c r="W16" i="31"/>
  <c r="AM16" i="31"/>
  <c r="E39" i="31" s="1"/>
  <c r="O16" i="31"/>
  <c r="E16" i="31"/>
  <c r="S16" i="31"/>
  <c r="D16" i="31"/>
  <c r="C14" i="31"/>
  <c r="I13" i="31"/>
  <c r="B33" i="31"/>
  <c r="B17" i="31"/>
  <c r="B18" i="31"/>
  <c r="B20" i="31"/>
  <c r="H19" i="31"/>
  <c r="C39" i="31"/>
  <c r="C7" i="31"/>
  <c r="C11" i="31" s="1"/>
  <c r="D5" i="31"/>
  <c r="C8" i="31"/>
  <c r="C12" i="31" s="1"/>
  <c r="D33" i="31"/>
  <c r="C33" i="31"/>
  <c r="E33" i="31"/>
  <c r="AX10" i="31"/>
  <c r="D39" i="31"/>
  <c r="B39" i="31" l="1"/>
  <c r="AX16" i="31"/>
  <c r="AY16" i="31" s="1"/>
  <c r="D14" i="31"/>
  <c r="J13" i="31"/>
  <c r="C18" i="31"/>
  <c r="D7" i="31"/>
  <c r="D11" i="31" s="1"/>
  <c r="D8" i="31"/>
  <c r="D12" i="31" s="1"/>
  <c r="E5" i="31"/>
  <c r="E14" i="31" l="1"/>
  <c r="K13" i="31"/>
  <c r="D18" i="31"/>
  <c r="C17" i="31"/>
  <c r="F5" i="31"/>
  <c r="E8" i="31"/>
  <c r="E12" i="31" s="1"/>
  <c r="E7" i="31"/>
  <c r="E11" i="31" s="1"/>
  <c r="C20" i="31"/>
  <c r="J19" i="31"/>
  <c r="I19" i="31"/>
  <c r="D17" i="31"/>
  <c r="D20" i="31"/>
  <c r="F14" i="31" l="1"/>
  <c r="L13" i="31"/>
  <c r="E18" i="31"/>
  <c r="E20" i="31"/>
  <c r="E17" i="31"/>
  <c r="G5" i="31"/>
  <c r="F7" i="31"/>
  <c r="F11" i="31" s="1"/>
  <c r="F8" i="31"/>
  <c r="F12" i="31" s="1"/>
  <c r="G14" i="31" l="1"/>
  <c r="M13" i="31"/>
  <c r="F20" i="31"/>
  <c r="F18" i="31"/>
  <c r="G7" i="31"/>
  <c r="G11" i="31" s="1"/>
  <c r="G8" i="31"/>
  <c r="G12" i="31" s="1"/>
  <c r="H5" i="31"/>
  <c r="L19" i="31"/>
  <c r="K19" i="31"/>
  <c r="H14" i="31" l="1"/>
  <c r="N13" i="31"/>
  <c r="G18" i="31"/>
  <c r="F17" i="31"/>
  <c r="G20" i="31"/>
  <c r="H7" i="31"/>
  <c r="H11" i="31" s="1"/>
  <c r="H8" i="31"/>
  <c r="H12" i="31" s="1"/>
  <c r="I5" i="31"/>
  <c r="G17" i="31"/>
  <c r="I14" i="31" l="1"/>
  <c r="O13" i="31"/>
  <c r="H18" i="31"/>
  <c r="N19" i="31"/>
  <c r="J5" i="31"/>
  <c r="I8" i="31"/>
  <c r="I12" i="31" s="1"/>
  <c r="I7" i="31"/>
  <c r="I11" i="31" s="1"/>
  <c r="H17" i="31"/>
  <c r="M19" i="31"/>
  <c r="B42" i="31" s="1"/>
  <c r="E17" i="30" s="1"/>
  <c r="B36" i="31"/>
  <c r="E8" i="30" l="1"/>
  <c r="I55" i="44"/>
  <c r="I61" i="44" s="1"/>
  <c r="I68" i="44" s="1"/>
  <c r="J14" i="31"/>
  <c r="P13" i="31"/>
  <c r="I18" i="31"/>
  <c r="I20" i="31"/>
  <c r="I17" i="31"/>
  <c r="K5" i="31"/>
  <c r="J7" i="31"/>
  <c r="J11" i="31" s="1"/>
  <c r="J8" i="31"/>
  <c r="J12" i="31" s="1"/>
  <c r="H20" i="31"/>
  <c r="K14" i="31" l="1"/>
  <c r="Q13" i="31"/>
  <c r="J18" i="31"/>
  <c r="P19" i="31"/>
  <c r="J20" i="31"/>
  <c r="K7" i="31"/>
  <c r="K11" i="31" s="1"/>
  <c r="L5" i="31"/>
  <c r="K8" i="31"/>
  <c r="K12" i="31" s="1"/>
  <c r="O19" i="31"/>
  <c r="J17" i="31"/>
  <c r="L14" i="31" l="1"/>
  <c r="R13" i="31"/>
  <c r="K18" i="31"/>
  <c r="K20" i="31"/>
  <c r="K17" i="31"/>
  <c r="L7" i="31"/>
  <c r="L11" i="31" s="1"/>
  <c r="L8" i="31"/>
  <c r="L12" i="31" s="1"/>
  <c r="M5" i="31"/>
  <c r="C52" i="52" s="1"/>
  <c r="M14" i="31" l="1"/>
  <c r="S13" i="31"/>
  <c r="L18" i="31"/>
  <c r="Q19" i="31"/>
  <c r="M8" i="31"/>
  <c r="M7" i="31"/>
  <c r="N5" i="31"/>
  <c r="L17" i="31"/>
  <c r="R19" i="31"/>
  <c r="L20" i="31"/>
  <c r="M12" i="31" l="1"/>
  <c r="C51" i="52"/>
  <c r="M11" i="31"/>
  <c r="C50" i="52"/>
  <c r="N14" i="31"/>
  <c r="T13" i="31"/>
  <c r="N8" i="31"/>
  <c r="N12" i="31" s="1"/>
  <c r="O5" i="31"/>
  <c r="N7" i="31"/>
  <c r="N11" i="31" s="1"/>
  <c r="S19" i="31"/>
  <c r="O14" i="31" l="1"/>
  <c r="U13" i="31"/>
  <c r="N18" i="31"/>
  <c r="N17" i="31"/>
  <c r="T19" i="31"/>
  <c r="M17" i="31"/>
  <c r="B34" i="31"/>
  <c r="O7" i="31"/>
  <c r="O11" i="31" s="1"/>
  <c r="P5" i="31"/>
  <c r="O8" i="31"/>
  <c r="O12" i="31" s="1"/>
  <c r="M18" i="31"/>
  <c r="B41" i="31" s="1"/>
  <c r="E18" i="30" s="1"/>
  <c r="B35" i="31"/>
  <c r="E9" i="30" s="1"/>
  <c r="N20" i="31"/>
  <c r="M20" i="31"/>
  <c r="B43" i="31" s="1"/>
  <c r="E13" i="30" s="1"/>
  <c r="B37" i="31"/>
  <c r="E4" i="30" s="1"/>
  <c r="E5" i="30" l="1"/>
  <c r="I54" i="44"/>
  <c r="B40" i="31"/>
  <c r="E14" i="30" s="1"/>
  <c r="E15" i="30" s="1"/>
  <c r="P14" i="31"/>
  <c r="V13" i="31"/>
  <c r="O18" i="31"/>
  <c r="E19" i="30"/>
  <c r="P7" i="31"/>
  <c r="P11" i="31" s="1"/>
  <c r="Q5" i="31"/>
  <c r="P8" i="31"/>
  <c r="P12" i="31" s="1"/>
  <c r="E10" i="30"/>
  <c r="B48" i="31" l="1"/>
  <c r="I60" i="44"/>
  <c r="Q14" i="31"/>
  <c r="W13" i="31"/>
  <c r="E90" i="30"/>
  <c r="E66" i="30"/>
  <c r="E6" i="30"/>
  <c r="E26" i="30" s="1"/>
  <c r="E33" i="30" s="1"/>
  <c r="O20" i="31"/>
  <c r="P20" i="31"/>
  <c r="U19" i="31"/>
  <c r="P18" i="31"/>
  <c r="P17" i="31"/>
  <c r="R5" i="31"/>
  <c r="Q8" i="31"/>
  <c r="Q12" i="31" s="1"/>
  <c r="Q7" i="31"/>
  <c r="Q11" i="31" s="1"/>
  <c r="E65" i="30"/>
  <c r="V19" i="31"/>
  <c r="O17" i="31"/>
  <c r="R14" i="31" l="1"/>
  <c r="X13" i="31"/>
  <c r="Q18" i="31"/>
  <c r="W19" i="31"/>
  <c r="S5" i="31"/>
  <c r="R8" i="31"/>
  <c r="R12" i="31" s="1"/>
  <c r="R7" i="31"/>
  <c r="R11" i="31" s="1"/>
  <c r="I56" i="44"/>
  <c r="E87" i="30"/>
  <c r="E93" i="30" s="1"/>
  <c r="F6" i="30"/>
  <c r="S14" i="31" l="1"/>
  <c r="Y13" i="31"/>
  <c r="R18" i="31"/>
  <c r="R17" i="31"/>
  <c r="T5" i="31"/>
  <c r="S7" i="31"/>
  <c r="S11" i="31" s="1"/>
  <c r="S8" i="31"/>
  <c r="S12" i="31" s="1"/>
  <c r="I67" i="44"/>
  <c r="I69" i="44" s="1"/>
  <c r="I62" i="44"/>
  <c r="Q20" i="31"/>
  <c r="R20" i="31"/>
  <c r="I100" i="30"/>
  <c r="J100" i="30"/>
  <c r="F23" i="30"/>
  <c r="O23" i="44"/>
  <c r="G7" i="44" s="1"/>
  <c r="E22" i="30" s="1"/>
  <c r="F8" i="30"/>
  <c r="F17" i="30"/>
  <c r="F13" i="30"/>
  <c r="F9" i="30"/>
  <c r="F14" i="30"/>
  <c r="F18" i="30"/>
  <c r="F4" i="30"/>
  <c r="F19" i="30"/>
  <c r="F5" i="30"/>
  <c r="F15" i="30"/>
  <c r="F10" i="30"/>
  <c r="Q17" i="31"/>
  <c r="X19" i="31"/>
  <c r="T14" i="31" l="1"/>
  <c r="Z13" i="31"/>
  <c r="S18" i="31"/>
  <c r="B22" i="31"/>
  <c r="G22" i="31"/>
  <c r="G26" i="31" s="1"/>
  <c r="F22" i="31"/>
  <c r="F26" i="31" s="1"/>
  <c r="E22" i="31"/>
  <c r="E26" i="31" s="1"/>
  <c r="M22" i="31"/>
  <c r="M26" i="31" s="1"/>
  <c r="H22" i="31"/>
  <c r="H26" i="31" s="1"/>
  <c r="C22" i="31"/>
  <c r="C26" i="31" s="1"/>
  <c r="J22" i="31"/>
  <c r="J26" i="31" s="1"/>
  <c r="L22" i="31"/>
  <c r="L26" i="31" s="1"/>
  <c r="K22" i="31"/>
  <c r="K26" i="31" s="1"/>
  <c r="I22" i="31"/>
  <c r="I26" i="31" s="1"/>
  <c r="D22" i="31"/>
  <c r="D26" i="31" s="1"/>
  <c r="S20" i="31"/>
  <c r="U5" i="31"/>
  <c r="T8" i="31"/>
  <c r="T12" i="31" s="1"/>
  <c r="T7" i="31"/>
  <c r="T11" i="31" s="1"/>
  <c r="B45" i="31" l="1"/>
  <c r="B50" i="31" s="1"/>
  <c r="B26" i="31"/>
  <c r="B27" i="31" s="1"/>
  <c r="U14" i="31"/>
  <c r="AA13" i="31"/>
  <c r="T18" i="31"/>
  <c r="Z19" i="31"/>
  <c r="S17" i="31"/>
  <c r="U8" i="31"/>
  <c r="U12" i="31" s="1"/>
  <c r="U7" i="31"/>
  <c r="U11" i="31" s="1"/>
  <c r="V5" i="31"/>
  <c r="T17" i="31"/>
  <c r="F22" i="30"/>
  <c r="E24" i="30"/>
  <c r="E27" i="30" s="1"/>
  <c r="Y19" i="31"/>
  <c r="C42" i="31" s="1"/>
  <c r="G17" i="30" s="1"/>
  <c r="C36" i="31"/>
  <c r="G8" i="30" l="1"/>
  <c r="J55" i="44"/>
  <c r="J61" i="44" s="1"/>
  <c r="J68" i="44" s="1"/>
  <c r="C45" i="39"/>
  <c r="C27" i="31"/>
  <c r="D45" i="39" s="1"/>
  <c r="V14" i="31"/>
  <c r="AB13" i="31"/>
  <c r="U18" i="31"/>
  <c r="F24" i="30"/>
  <c r="E29" i="30"/>
  <c r="T20" i="31"/>
  <c r="U20" i="31"/>
  <c r="V8" i="31"/>
  <c r="V12" i="31" s="1"/>
  <c r="W5" i="31"/>
  <c r="V7" i="31"/>
  <c r="V11" i="31" s="1"/>
  <c r="D27" i="31" l="1"/>
  <c r="E27" i="31" s="1"/>
  <c r="W14" i="31"/>
  <c r="AC13" i="31"/>
  <c r="V18" i="31"/>
  <c r="AA19" i="31"/>
  <c r="U17" i="31"/>
  <c r="AB19" i="31"/>
  <c r="O24" i="44"/>
  <c r="E31" i="30"/>
  <c r="V17" i="31"/>
  <c r="W7" i="31"/>
  <c r="W11" i="31" s="1"/>
  <c r="W8" i="31"/>
  <c r="W12" i="31" s="1"/>
  <c r="X5" i="31"/>
  <c r="E45" i="39" l="1"/>
  <c r="X14" i="31"/>
  <c r="AD13" i="31"/>
  <c r="W18" i="31"/>
  <c r="F45" i="39"/>
  <c r="F27" i="31"/>
  <c r="W20" i="31"/>
  <c r="X8" i="31"/>
  <c r="X12" i="31" s="1"/>
  <c r="Y5" i="31"/>
  <c r="D52" i="52" s="1"/>
  <c r="X7" i="31"/>
  <c r="X11" i="31" s="1"/>
  <c r="V20" i="31"/>
  <c r="Y14" i="31" l="1"/>
  <c r="AE13" i="31"/>
  <c r="X18" i="31"/>
  <c r="G45" i="39"/>
  <c r="G27" i="31"/>
  <c r="X17" i="31"/>
  <c r="Y7" i="31"/>
  <c r="Z5" i="31"/>
  <c r="Y8" i="31"/>
  <c r="AC19" i="31"/>
  <c r="W17" i="31"/>
  <c r="X20" i="31"/>
  <c r="AD19" i="31"/>
  <c r="Y12" i="31" l="1"/>
  <c r="D51" i="52"/>
  <c r="Y11" i="31"/>
  <c r="D50" i="52"/>
  <c r="Z14" i="31"/>
  <c r="AF13" i="31"/>
  <c r="H27" i="31"/>
  <c r="H45" i="39"/>
  <c r="AE19" i="31"/>
  <c r="AA5" i="31"/>
  <c r="Z7" i="31"/>
  <c r="Z11" i="31" s="1"/>
  <c r="Z8" i="31"/>
  <c r="Z12" i="31" s="1"/>
  <c r="AA14" i="31" l="1"/>
  <c r="AG13" i="31"/>
  <c r="Z18" i="31"/>
  <c r="I27" i="31"/>
  <c r="I45" i="39"/>
  <c r="Z20" i="31"/>
  <c r="Y18" i="31"/>
  <c r="C41" i="31" s="1"/>
  <c r="G18" i="30" s="1"/>
  <c r="C35" i="31"/>
  <c r="G9" i="30" s="1"/>
  <c r="Z17" i="31"/>
  <c r="Y17" i="31"/>
  <c r="C34" i="31"/>
  <c r="AB5" i="31"/>
  <c r="AA8" i="31"/>
  <c r="AA12" i="31" s="1"/>
  <c r="AA7" i="31"/>
  <c r="AA11" i="31" s="1"/>
  <c r="Y20" i="31"/>
  <c r="C43" i="31" s="1"/>
  <c r="G13" i="30" s="1"/>
  <c r="C37" i="31"/>
  <c r="G4" i="30" s="1"/>
  <c r="G5" i="30" l="1"/>
  <c r="J54" i="44"/>
  <c r="C40" i="31"/>
  <c r="G14" i="30" s="1"/>
  <c r="G15" i="30" s="1"/>
  <c r="AB14" i="31"/>
  <c r="AH13" i="31"/>
  <c r="AA18" i="31"/>
  <c r="J45" i="39"/>
  <c r="J27" i="31"/>
  <c r="G10" i="30"/>
  <c r="AB7" i="31"/>
  <c r="AB11" i="31" s="1"/>
  <c r="AB8" i="31"/>
  <c r="AB12" i="31" s="1"/>
  <c r="AC5" i="31"/>
  <c r="AF19" i="31"/>
  <c r="G19" i="30"/>
  <c r="AG19" i="31"/>
  <c r="C48" i="31" l="1"/>
  <c r="J60" i="44"/>
  <c r="AC14" i="31"/>
  <c r="AI13" i="31"/>
  <c r="K45" i="39"/>
  <c r="K27" i="31"/>
  <c r="AB18" i="31"/>
  <c r="G66" i="30"/>
  <c r="AB20" i="31"/>
  <c r="AB17" i="31"/>
  <c r="G6" i="30"/>
  <c r="G26" i="30" s="1"/>
  <c r="G33" i="30" s="1"/>
  <c r="G65" i="30"/>
  <c r="G90" i="30"/>
  <c r="AA20" i="31"/>
  <c r="AD5" i="31"/>
  <c r="AC7" i="31"/>
  <c r="AC11" i="31" s="1"/>
  <c r="AC8" i="31"/>
  <c r="AC12" i="31" s="1"/>
  <c r="AA17" i="31"/>
  <c r="AD14" i="31" l="1"/>
  <c r="AJ13" i="31"/>
  <c r="AC18" i="31"/>
  <c r="L45" i="39"/>
  <c r="L27" i="31"/>
  <c r="AI19" i="31"/>
  <c r="AH19" i="31"/>
  <c r="AD7" i="31"/>
  <c r="AD11" i="31" s="1"/>
  <c r="AD8" i="31"/>
  <c r="AD12" i="31" s="1"/>
  <c r="AE5" i="31"/>
  <c r="G87" i="30"/>
  <c r="G93" i="30" s="1"/>
  <c r="J56" i="44"/>
  <c r="AE14" i="31" l="1"/>
  <c r="AK13" i="31"/>
  <c r="AD18" i="31"/>
  <c r="M27" i="31"/>
  <c r="N45" i="39" s="1"/>
  <c r="M45" i="39"/>
  <c r="AD17" i="31"/>
  <c r="J67" i="44"/>
  <c r="J69" i="44" s="1"/>
  <c r="J62" i="44"/>
  <c r="AC20" i="31"/>
  <c r="H6" i="30"/>
  <c r="P23" i="44"/>
  <c r="H7" i="44" s="1"/>
  <c r="G22" i="30" s="1"/>
  <c r="H23" i="30"/>
  <c r="H17" i="30"/>
  <c r="H8" i="30"/>
  <c r="H9" i="30"/>
  <c r="H13" i="30"/>
  <c r="H4" i="30"/>
  <c r="H18" i="30"/>
  <c r="H14" i="30"/>
  <c r="H19" i="30"/>
  <c r="H15" i="30"/>
  <c r="H10" i="30"/>
  <c r="H5" i="30"/>
  <c r="AD20" i="31"/>
  <c r="AJ19" i="31"/>
  <c r="AC17" i="31"/>
  <c r="AE7" i="31"/>
  <c r="AE11" i="31" s="1"/>
  <c r="AF5" i="31"/>
  <c r="AE8" i="31"/>
  <c r="AE12" i="31" s="1"/>
  <c r="AF14" i="31" l="1"/>
  <c r="AL13" i="31"/>
  <c r="AE18" i="31"/>
  <c r="AE20" i="31"/>
  <c r="P22" i="31"/>
  <c r="P26" i="31" s="1"/>
  <c r="N22" i="31"/>
  <c r="W22" i="31"/>
  <c r="W26" i="31" s="1"/>
  <c r="V22" i="31"/>
  <c r="V26" i="31" s="1"/>
  <c r="O22" i="31"/>
  <c r="O26" i="31" s="1"/>
  <c r="R22" i="31"/>
  <c r="R26" i="31" s="1"/>
  <c r="T22" i="31"/>
  <c r="T26" i="31" s="1"/>
  <c r="X22" i="31"/>
  <c r="X26" i="31" s="1"/>
  <c r="Y22" i="31"/>
  <c r="Y26" i="31" s="1"/>
  <c r="Q22" i="31"/>
  <c r="Q26" i="31" s="1"/>
  <c r="S22" i="31"/>
  <c r="S26" i="31" s="1"/>
  <c r="U22" i="31"/>
  <c r="U26" i="31" s="1"/>
  <c r="AG5" i="31"/>
  <c r="AF7" i="31"/>
  <c r="AF11" i="31" s="1"/>
  <c r="AF8" i="31"/>
  <c r="AF12" i="31" s="1"/>
  <c r="C45" i="31" l="1"/>
  <c r="C50" i="31" s="1"/>
  <c r="N26" i="31"/>
  <c r="N27" i="31" s="1"/>
  <c r="AG14" i="31"/>
  <c r="AM13" i="31"/>
  <c r="AF18" i="31"/>
  <c r="AF17" i="31"/>
  <c r="AL19" i="31"/>
  <c r="AG7" i="31"/>
  <c r="AG11" i="31" s="1"/>
  <c r="AG8" i="31"/>
  <c r="AG12" i="31" s="1"/>
  <c r="AH5" i="31"/>
  <c r="AK19" i="31"/>
  <c r="D42" i="31" s="1"/>
  <c r="I17" i="30" s="1"/>
  <c r="D36" i="31"/>
  <c r="H22" i="30"/>
  <c r="G24" i="30"/>
  <c r="G27" i="30" s="1"/>
  <c r="AE17" i="31"/>
  <c r="I8" i="30" l="1"/>
  <c r="K55" i="44"/>
  <c r="K61" i="44" s="1"/>
  <c r="K68" i="44" s="1"/>
  <c r="O45" i="39"/>
  <c r="O27" i="31"/>
  <c r="P45" i="39" s="1"/>
  <c r="AH14" i="31"/>
  <c r="AN13" i="31"/>
  <c r="AG18" i="31"/>
  <c r="AH7" i="31"/>
  <c r="AH11" i="31" s="1"/>
  <c r="AH8" i="31"/>
  <c r="AH12" i="31" s="1"/>
  <c r="AI5" i="31"/>
  <c r="AG20" i="31"/>
  <c r="AF20" i="31"/>
  <c r="H24" i="30"/>
  <c r="G29" i="30"/>
  <c r="P27" i="31" l="1"/>
  <c r="Q45" i="39" s="1"/>
  <c r="AI14" i="31"/>
  <c r="AO13" i="31"/>
  <c r="AH18" i="31"/>
  <c r="AH17" i="31"/>
  <c r="AM19" i="31"/>
  <c r="AG17" i="31"/>
  <c r="P24" i="44"/>
  <c r="G31" i="30"/>
  <c r="AI8" i="31"/>
  <c r="AI12" i="31" s="1"/>
  <c r="AJ5" i="31"/>
  <c r="AI7" i="31"/>
  <c r="AI11" i="31" s="1"/>
  <c r="AH20" i="31"/>
  <c r="AN19" i="31"/>
  <c r="Q27" i="31" l="1"/>
  <c r="R45" i="39" s="1"/>
  <c r="AJ14" i="31"/>
  <c r="AP13" i="31"/>
  <c r="AI18" i="31"/>
  <c r="AK5" i="31"/>
  <c r="E52" i="52" s="1"/>
  <c r="AJ7" i="31"/>
  <c r="AJ11" i="31" s="1"/>
  <c r="AJ8" i="31"/>
  <c r="AJ12" i="31" s="1"/>
  <c r="AI20" i="31"/>
  <c r="AO19" i="31"/>
  <c r="R27" i="31" l="1"/>
  <c r="S45" i="39" s="1"/>
  <c r="AK14" i="31"/>
  <c r="AQ13" i="31"/>
  <c r="AJ18" i="31"/>
  <c r="AI17" i="31"/>
  <c r="AK8" i="31"/>
  <c r="AL5" i="31"/>
  <c r="AK7" i="31"/>
  <c r="AJ17" i="31"/>
  <c r="AP19" i="31"/>
  <c r="AJ20" i="31"/>
  <c r="AK11" i="31" l="1"/>
  <c r="E50" i="52"/>
  <c r="AK12" i="31"/>
  <c r="E51" i="52"/>
  <c r="S27" i="31"/>
  <c r="T45" i="39" s="1"/>
  <c r="AL14" i="31"/>
  <c r="AR13" i="31"/>
  <c r="AM5" i="31"/>
  <c r="AL7" i="31"/>
  <c r="AL11" i="31" s="1"/>
  <c r="AL8" i="31"/>
  <c r="AL12" i="31" s="1"/>
  <c r="T27" i="31" l="1"/>
  <c r="U27" i="31" s="1"/>
  <c r="V27" i="31" s="1"/>
  <c r="W45" i="39" s="1"/>
  <c r="AM14" i="31"/>
  <c r="AS13" i="31"/>
  <c r="AL18" i="31"/>
  <c r="AN5" i="31"/>
  <c r="AM7" i="31"/>
  <c r="AM11" i="31" s="1"/>
  <c r="AM8" i="31"/>
  <c r="AM12" i="31" s="1"/>
  <c r="AL20" i="31"/>
  <c r="AK17" i="31"/>
  <c r="D34" i="31"/>
  <c r="AK20" i="31"/>
  <c r="D43" i="31" s="1"/>
  <c r="I13" i="30" s="1"/>
  <c r="D37" i="31"/>
  <c r="I4" i="30" s="1"/>
  <c r="AQ19" i="31"/>
  <c r="AR19" i="31"/>
  <c r="AK18" i="31"/>
  <c r="D41" i="31" s="1"/>
  <c r="I18" i="30" s="1"/>
  <c r="D35" i="31"/>
  <c r="I9" i="30" s="1"/>
  <c r="AL17" i="31"/>
  <c r="U45" i="39" l="1"/>
  <c r="W27" i="31"/>
  <c r="X45" i="39" s="1"/>
  <c r="V45" i="39"/>
  <c r="I5" i="30"/>
  <c r="K54" i="44"/>
  <c r="D40" i="31"/>
  <c r="I14" i="30" s="1"/>
  <c r="I15" i="30" s="1"/>
  <c r="AN14" i="31"/>
  <c r="AT13" i="31"/>
  <c r="AM18" i="31"/>
  <c r="AM17" i="31"/>
  <c r="I10" i="30"/>
  <c r="I6" i="30"/>
  <c r="AS19" i="31"/>
  <c r="I19" i="30"/>
  <c r="AN7" i="31"/>
  <c r="AN11" i="31" s="1"/>
  <c r="AN8" i="31"/>
  <c r="AN12" i="31" s="1"/>
  <c r="AO5" i="31"/>
  <c r="D48" i="31" l="1"/>
  <c r="X27" i="31"/>
  <c r="Y45" i="39" s="1"/>
  <c r="I26" i="30"/>
  <c r="I33" i="30" s="1"/>
  <c r="K60" i="44"/>
  <c r="AO14" i="31"/>
  <c r="AU13" i="31"/>
  <c r="AN18" i="31"/>
  <c r="I87" i="30"/>
  <c r="AT19" i="31"/>
  <c r="AM20" i="31"/>
  <c r="AO8" i="31"/>
  <c r="AO12" i="31" s="1"/>
  <c r="AP5" i="31"/>
  <c r="AO7" i="31"/>
  <c r="AO11" i="31" s="1"/>
  <c r="I66" i="30"/>
  <c r="I65" i="30"/>
  <c r="I90" i="30"/>
  <c r="AN20" i="31"/>
  <c r="Y27" i="31" l="1"/>
  <c r="Z45" i="39" s="1"/>
  <c r="J19" i="30"/>
  <c r="AP14" i="31"/>
  <c r="AV13" i="31"/>
  <c r="J15" i="30"/>
  <c r="J5" i="30"/>
  <c r="J10" i="30"/>
  <c r="AQ5" i="31"/>
  <c r="AP7" i="31"/>
  <c r="AP11" i="31" s="1"/>
  <c r="AP8" i="31"/>
  <c r="AP12" i="31" s="1"/>
  <c r="J6" i="30"/>
  <c r="Q23" i="44"/>
  <c r="J7" i="44" s="1"/>
  <c r="I22" i="30" s="1"/>
  <c r="J23" i="30"/>
  <c r="J8" i="30"/>
  <c r="J17" i="30"/>
  <c r="J9" i="30"/>
  <c r="J18" i="30"/>
  <c r="J14" i="30"/>
  <c r="J4" i="30"/>
  <c r="J13" i="30"/>
  <c r="AU19" i="31"/>
  <c r="AO18" i="31"/>
  <c r="K56" i="44"/>
  <c r="AN17" i="31"/>
  <c r="I93" i="30"/>
  <c r="AQ14" i="31" l="1"/>
  <c r="AW13" i="31"/>
  <c r="AP18" i="31"/>
  <c r="K67" i="44"/>
  <c r="K69" i="44" s="1"/>
  <c r="K62" i="44"/>
  <c r="AV19" i="31"/>
  <c r="AQ8" i="31"/>
  <c r="AQ12" i="31" s="1"/>
  <c r="AR5" i="31"/>
  <c r="AR14" i="31" s="1"/>
  <c r="AQ7" i="31"/>
  <c r="AQ11" i="31" s="1"/>
  <c r="AB22" i="31"/>
  <c r="AB26" i="31" s="1"/>
  <c r="AK22" i="31"/>
  <c r="AK26" i="31" s="1"/>
  <c r="AG22" i="31"/>
  <c r="AG26" i="31" s="1"/>
  <c r="AH22" i="31"/>
  <c r="AH26" i="31" s="1"/>
  <c r="AI22" i="31"/>
  <c r="AI26" i="31" s="1"/>
  <c r="AE22" i="31"/>
  <c r="AE26" i="31" s="1"/>
  <c r="AF22" i="31"/>
  <c r="AF26" i="31" s="1"/>
  <c r="AJ22" i="31"/>
  <c r="AJ26" i="31" s="1"/>
  <c r="AD22" i="31"/>
  <c r="AD26" i="31" s="1"/>
  <c r="AC22" i="31"/>
  <c r="AC26" i="31" s="1"/>
  <c r="Z22" i="31"/>
  <c r="AA22" i="31"/>
  <c r="AA26" i="31" s="1"/>
  <c r="AO20" i="31"/>
  <c r="AP20" i="31"/>
  <c r="AO17" i="31"/>
  <c r="D45" i="31" l="1"/>
  <c r="D50" i="31" s="1"/>
  <c r="Z26" i="31"/>
  <c r="Z27" i="31" s="1"/>
  <c r="I24" i="30"/>
  <c r="I27" i="30" s="1"/>
  <c r="J22" i="30"/>
  <c r="AQ18" i="31"/>
  <c r="AP17" i="31"/>
  <c r="AS5" i="31"/>
  <c r="AS14" i="31" s="1"/>
  <c r="AR8" i="31"/>
  <c r="AR12" i="31" s="1"/>
  <c r="AR7" i="31"/>
  <c r="AR11" i="31" s="1"/>
  <c r="AA45" i="39" l="1"/>
  <c r="AA27" i="31"/>
  <c r="AB45" i="39" s="1"/>
  <c r="AR18" i="31"/>
  <c r="AQ17" i="31"/>
  <c r="AR17" i="31"/>
  <c r="AS7" i="31"/>
  <c r="AS11" i="31" s="1"/>
  <c r="AS8" i="31"/>
  <c r="AS12" i="31" s="1"/>
  <c r="AT5" i="31"/>
  <c r="AT14" i="31" s="1"/>
  <c r="AQ20" i="31"/>
  <c r="AB27" i="31"/>
  <c r="J24" i="30"/>
  <c r="I29" i="30"/>
  <c r="AR20" i="31"/>
  <c r="AW19" i="31"/>
  <c r="E36" i="31"/>
  <c r="K8" i="30" l="1"/>
  <c r="L55" i="44"/>
  <c r="AS18" i="31"/>
  <c r="E42" i="31"/>
  <c r="K17" i="30" s="1"/>
  <c r="AX19" i="31"/>
  <c r="AS20" i="31"/>
  <c r="AC45" i="39"/>
  <c r="AC27" i="31"/>
  <c r="I31" i="30"/>
  <c r="Q24" i="44"/>
  <c r="AU5" i="31"/>
  <c r="AU14" i="31" s="1"/>
  <c r="AT8" i="31"/>
  <c r="AT12" i="31" s="1"/>
  <c r="AT7" i="31"/>
  <c r="AT11" i="31" s="1"/>
  <c r="L61" i="44" l="1"/>
  <c r="AU8" i="31"/>
  <c r="AU12" i="31" s="1"/>
  <c r="AV5" i="31"/>
  <c r="AV14" i="31" s="1"/>
  <c r="AU7" i="31"/>
  <c r="AU11" i="31" s="1"/>
  <c r="AD45" i="39"/>
  <c r="AD27" i="31"/>
  <c r="AT17" i="31"/>
  <c r="AS17" i="31"/>
  <c r="AT18" i="31"/>
  <c r="N55" i="44"/>
  <c r="AU18" i="31" l="1"/>
  <c r="AU17" i="31"/>
  <c r="AT20" i="31"/>
  <c r="AE45" i="39"/>
  <c r="AE27" i="31"/>
  <c r="AV8" i="31"/>
  <c r="AV12" i="31" s="1"/>
  <c r="AV7" i="31"/>
  <c r="AV11" i="31" s="1"/>
  <c r="AW5" i="31"/>
  <c r="N61" i="44"/>
  <c r="O61" i="44" s="1"/>
  <c r="L68" i="44"/>
  <c r="AU20" i="31"/>
  <c r="AW14" i="31" l="1"/>
  <c r="F52" i="52"/>
  <c r="AW8" i="31"/>
  <c r="AW7" i="31"/>
  <c r="AV18" i="31"/>
  <c r="AF45" i="39"/>
  <c r="AF27" i="31"/>
  <c r="AV20" i="31"/>
  <c r="AV17" i="31"/>
  <c r="AW11" i="31" l="1"/>
  <c r="F50" i="52"/>
  <c r="AW12" i="31"/>
  <c r="F51" i="52"/>
  <c r="AX7" i="31"/>
  <c r="AG45" i="39"/>
  <c r="AG27" i="31"/>
  <c r="AX8" i="31"/>
  <c r="AX13" i="31"/>
  <c r="AY19" i="31" s="1"/>
  <c r="AW20" i="31" l="1"/>
  <c r="AX14" i="31"/>
  <c r="E37" i="31"/>
  <c r="K4" i="30" s="1"/>
  <c r="AW17" i="31"/>
  <c r="E34" i="31"/>
  <c r="AX11" i="31"/>
  <c r="AH45" i="39"/>
  <c r="AH27" i="31"/>
  <c r="K5" i="30" l="1"/>
  <c r="K6" i="30" s="1"/>
  <c r="AI45" i="39"/>
  <c r="AI27" i="31"/>
  <c r="AX17" i="31"/>
  <c r="AY17" i="31" s="1"/>
  <c r="E40" i="31"/>
  <c r="K14" i="30" s="1"/>
  <c r="E43" i="31"/>
  <c r="K13" i="30" s="1"/>
  <c r="AX20" i="31"/>
  <c r="AY20" i="31" s="1"/>
  <c r="AW18" i="31"/>
  <c r="E35" i="31"/>
  <c r="K9" i="30" s="1"/>
  <c r="AX12" i="31"/>
  <c r="L54" i="44" l="1"/>
  <c r="J101" i="30"/>
  <c r="AJ45" i="39"/>
  <c r="AJ27" i="31"/>
  <c r="K10" i="30"/>
  <c r="K26" i="30" s="1"/>
  <c r="E41" i="31"/>
  <c r="E48" i="31" s="1"/>
  <c r="AX18" i="31"/>
  <c r="AY18" i="31" s="1"/>
  <c r="K15" i="30"/>
  <c r="L60" i="44" l="1"/>
  <c r="N54" i="44"/>
  <c r="L6" i="30"/>
  <c r="R23" i="44"/>
  <c r="K7" i="44" s="1"/>
  <c r="K22" i="30" s="1"/>
  <c r="L23" i="30"/>
  <c r="L8" i="30"/>
  <c r="L17" i="30"/>
  <c r="L4" i="30"/>
  <c r="L14" i="30"/>
  <c r="L5" i="30"/>
  <c r="L13" i="30"/>
  <c r="L9" i="30"/>
  <c r="K18" i="30"/>
  <c r="AK45" i="39"/>
  <c r="AK27" i="31"/>
  <c r="AL45" i="39" s="1"/>
  <c r="L56" i="44"/>
  <c r="N56" i="44" s="1"/>
  <c r="L15" i="30"/>
  <c r="K65" i="30"/>
  <c r="I101" i="30"/>
  <c r="L10" i="30"/>
  <c r="K87" i="30"/>
  <c r="L62" i="44" l="1"/>
  <c r="N62" i="44" s="1"/>
  <c r="O62" i="44" s="1"/>
  <c r="L67" i="44"/>
  <c r="L69" i="44" s="1"/>
  <c r="K17" i="44" s="1"/>
  <c r="N60" i="44"/>
  <c r="O60" i="44" s="1"/>
  <c r="L18" i="30"/>
  <c r="K19" i="30"/>
  <c r="K33" i="30" s="1"/>
  <c r="AU22" i="31"/>
  <c r="AU26" i="31" s="1"/>
  <c r="AW22" i="31"/>
  <c r="AW26" i="31" s="1"/>
  <c r="AP22" i="31"/>
  <c r="AP26" i="31" s="1"/>
  <c r="AT22" i="31"/>
  <c r="AT26" i="31" s="1"/>
  <c r="AM22" i="31"/>
  <c r="AM26" i="31" s="1"/>
  <c r="AO22" i="31"/>
  <c r="AO26" i="31" s="1"/>
  <c r="AV22" i="31"/>
  <c r="AV26" i="31" s="1"/>
  <c r="AQ22" i="31"/>
  <c r="AQ26" i="31" s="1"/>
  <c r="AS22" i="31"/>
  <c r="AS26" i="31" s="1"/>
  <c r="AR22" i="31"/>
  <c r="AR26" i="31" s="1"/>
  <c r="AL22" i="31"/>
  <c r="AN22" i="31"/>
  <c r="AN26" i="31" s="1"/>
  <c r="AL26" i="31" l="1"/>
  <c r="AL27" i="31" s="1"/>
  <c r="AM45" i="39" s="1"/>
  <c r="E45" i="31"/>
  <c r="E50" i="31" s="1"/>
  <c r="K90" i="30"/>
  <c r="K93" i="30" s="1"/>
  <c r="K66" i="30"/>
  <c r="L19" i="30"/>
  <c r="H31" i="31"/>
  <c r="K24" i="30"/>
  <c r="L22" i="30"/>
  <c r="L24" i="30" l="1"/>
  <c r="K27" i="30"/>
  <c r="K29" i="30" s="1"/>
  <c r="AM27" i="31"/>
  <c r="AN45" i="39" l="1"/>
  <c r="AN27" i="31"/>
  <c r="R24" i="44"/>
  <c r="K31" i="30"/>
  <c r="AO27" i="31" l="1"/>
  <c r="AO45" i="39"/>
  <c r="AP45" i="39" l="1"/>
  <c r="AP27" i="31"/>
  <c r="AQ45" i="39" l="1"/>
  <c r="AQ27" i="31"/>
  <c r="AR45" i="39" l="1"/>
  <c r="AR27" i="31"/>
  <c r="AS45" i="39" l="1"/>
  <c r="AS27" i="31"/>
  <c r="AT45" i="39" l="1"/>
  <c r="AT27" i="31"/>
  <c r="AU45" i="39" l="1"/>
  <c r="AU27" i="31"/>
  <c r="AV45" i="39" l="1"/>
  <c r="AV27" i="31"/>
  <c r="AW45" i="39" l="1"/>
  <c r="AW27" i="31"/>
  <c r="AX45" i="39" l="1"/>
  <c r="J36" i="39"/>
</calcChain>
</file>

<file path=xl/comments1.xml><?xml version="1.0" encoding="utf-8"?>
<comments xmlns="http://schemas.openxmlformats.org/spreadsheetml/2006/main">
  <authors>
    <author>Dana Willmer</author>
  </authors>
  <commentList>
    <comment ref="G3" authorId="0" shapeId="0">
      <text>
        <r>
          <rPr>
            <b/>
            <sz val="9"/>
            <color indexed="81"/>
            <rFont val="Tahoma"/>
            <family val="2"/>
          </rPr>
          <t>How many new customers do you anticipate adding in year 1?</t>
        </r>
      </text>
    </comment>
    <comment ref="H3" authorId="0" shapeId="0">
      <text>
        <r>
          <rPr>
            <b/>
            <sz val="9"/>
            <color indexed="81"/>
            <rFont val="Tahoma"/>
            <family val="2"/>
          </rPr>
          <t>How many new customers do you anticipate adding in year 2?</t>
        </r>
      </text>
    </comment>
    <comment ref="J3" authorId="0" shapeId="0">
      <text>
        <r>
          <rPr>
            <b/>
            <sz val="9"/>
            <color indexed="81"/>
            <rFont val="Tahoma"/>
            <family val="2"/>
          </rPr>
          <t>How many new customers do you anticipate adding in year 3?</t>
        </r>
      </text>
    </comment>
    <comment ref="K3" authorId="0" shapeId="0">
      <text>
        <r>
          <rPr>
            <b/>
            <sz val="9"/>
            <color indexed="81"/>
            <rFont val="Tahoma"/>
            <family val="2"/>
          </rPr>
          <t>How many new customers do you anticipate adding in year 14?</t>
        </r>
      </text>
    </comment>
    <comment ref="G7" authorId="0" shapeId="0">
      <text>
        <r>
          <rPr>
            <b/>
            <sz val="9"/>
            <color indexed="81"/>
            <rFont val="Tahoma"/>
            <family val="2"/>
          </rPr>
          <t>Given your customer add assumptions, what sales and marketing costs will you have, in year 1?</t>
        </r>
      </text>
    </comment>
    <comment ref="H7" authorId="0" shapeId="0">
      <text>
        <r>
          <rPr>
            <b/>
            <sz val="9"/>
            <color indexed="81"/>
            <rFont val="Tahoma"/>
            <family val="2"/>
          </rPr>
          <t>Given your customer add assumptions, what sales and marketing costs will you have, in year 2?</t>
        </r>
      </text>
    </comment>
    <comment ref="J7" authorId="0" shapeId="0">
      <text>
        <r>
          <rPr>
            <b/>
            <sz val="9"/>
            <color indexed="81"/>
            <rFont val="Tahoma"/>
            <family val="2"/>
          </rPr>
          <t>Given your customer add assumptions, what sales and marketing costs will you have, in year 1?</t>
        </r>
      </text>
    </comment>
    <comment ref="K7" authorId="0" shapeId="0">
      <text>
        <r>
          <rPr>
            <b/>
            <sz val="9"/>
            <color indexed="81"/>
            <rFont val="Tahoma"/>
            <family val="2"/>
          </rPr>
          <t>Given your customer add assumptions, what sales and marketing costs will you have, in year 1?</t>
        </r>
      </text>
    </comment>
    <comment ref="C8" authorId="0" shapeId="0">
      <text>
        <r>
          <rPr>
            <b/>
            <sz val="9"/>
            <color indexed="81"/>
            <rFont val="Tahoma"/>
            <family val="2"/>
          </rPr>
          <t>For new Azure deals, what do you expect to charge in terms of upfront implementation fees?</t>
        </r>
      </text>
    </comment>
    <comment ref="C9" authorId="0" shapeId="0">
      <text>
        <r>
          <rPr>
            <b/>
            <sz val="9"/>
            <color indexed="81"/>
            <rFont val="Tahoma"/>
            <family val="2"/>
          </rPr>
          <t>For new Azure deals, what do you expect to charge in terms of ongoing project fees, per year?</t>
        </r>
      </text>
    </comment>
    <comment ref="C10" authorId="0" shapeId="0">
      <text>
        <r>
          <rPr>
            <b/>
            <sz val="9"/>
            <color indexed="81"/>
            <rFont val="Tahoma"/>
            <family val="2"/>
          </rPr>
          <t>For new Azure deals, what do you expect to drive in terms of Azure consumption, per year?</t>
        </r>
      </text>
    </comment>
    <comment ref="C11" authorId="0" shapeId="0">
      <text>
        <r>
          <rPr>
            <b/>
            <sz val="9"/>
            <color indexed="81"/>
            <rFont val="Tahoma"/>
            <family val="2"/>
          </rPr>
          <t>For Azure deals, what do you expect to charge for your own IP, per customer per year?</t>
        </r>
      </text>
    </comment>
    <comment ref="G11" authorId="0" shapeId="0">
      <text>
        <r>
          <rPr>
            <b/>
            <sz val="9"/>
            <color indexed="81"/>
            <rFont val="Tahoma"/>
            <family val="2"/>
          </rPr>
          <t>Given your customer add assumptions, what incremental fixed investments will you have to make, in year 1?</t>
        </r>
      </text>
    </comment>
    <comment ref="H11" authorId="0" shapeId="0">
      <text>
        <r>
          <rPr>
            <b/>
            <sz val="9"/>
            <color indexed="81"/>
            <rFont val="Tahoma"/>
            <family val="2"/>
          </rPr>
          <t>Given your customer add assumptions, what incremental fixed investments will you have to make, in year 2?</t>
        </r>
      </text>
    </comment>
    <comment ref="J11" authorId="0" shapeId="0">
      <text>
        <r>
          <rPr>
            <b/>
            <sz val="9"/>
            <color indexed="81"/>
            <rFont val="Tahoma"/>
            <family val="2"/>
          </rPr>
          <t>Given your customer add assumptions, what incremental fixed investments will you have to make, in year 3?</t>
        </r>
      </text>
    </comment>
    <comment ref="K11" authorId="0" shapeId="0">
      <text>
        <r>
          <rPr>
            <b/>
            <sz val="9"/>
            <color indexed="81"/>
            <rFont val="Tahoma"/>
            <family val="2"/>
          </rPr>
          <t>Given your customer add assumptions, what incremental fixed investments will you have to make, in year 4?</t>
        </r>
      </text>
    </comment>
    <comment ref="C12" authorId="0" shapeId="0">
      <text>
        <r>
          <rPr>
            <b/>
            <sz val="9"/>
            <color indexed="81"/>
            <rFont val="Tahoma"/>
            <family val="2"/>
          </rPr>
          <t>When you provide a managed service alongside Azure, what will you charge the customer, per year?</t>
        </r>
      </text>
    </comment>
    <comment ref="K15" authorId="0" shapeId="0">
      <text>
        <r>
          <rPr>
            <b/>
            <sz val="9"/>
            <color indexed="81"/>
            <rFont val="Tahoma"/>
            <family val="2"/>
          </rPr>
          <t>From a valuation perspective, what do you consider an appropriate multiplier for recurring margin?</t>
        </r>
      </text>
    </comment>
    <comment ref="C16" authorId="0" shapeId="0">
      <text>
        <r>
          <rPr>
            <sz val="10"/>
            <color indexed="81"/>
            <rFont val="Tahoma"/>
            <family val="2"/>
          </rPr>
          <t>What is the expected margin to you from Microsoft on any Azure consumption you drive?</t>
        </r>
      </text>
    </comment>
    <comment ref="K16" authorId="0" shapeId="0">
      <text>
        <r>
          <rPr>
            <b/>
            <sz val="9"/>
            <color indexed="81"/>
            <rFont val="Tahoma"/>
            <family val="2"/>
          </rPr>
          <t>From a valuation perspective, what do you consider an appropriate multiplier for non-recurring margin?</t>
        </r>
      </text>
    </comment>
    <comment ref="C17" authorId="0" shapeId="0">
      <text>
        <r>
          <rPr>
            <b/>
            <sz val="9"/>
            <color indexed="81"/>
            <rFont val="Tahoma"/>
            <family val="2"/>
          </rPr>
          <t>What is your expected gross margin on any of your own IP that you sell on Azure?</t>
        </r>
      </text>
    </comment>
    <comment ref="C18" authorId="0" shapeId="0">
      <text>
        <r>
          <rPr>
            <b/>
            <sz val="9"/>
            <color indexed="81"/>
            <rFont val="Tahoma"/>
            <family val="2"/>
          </rPr>
          <t>What is your expected gross margin on project services?</t>
        </r>
      </text>
    </comment>
    <comment ref="C19" authorId="0" shapeId="0">
      <text>
        <r>
          <rPr>
            <b/>
            <sz val="9"/>
            <color indexed="81"/>
            <rFont val="Tahoma"/>
            <family val="2"/>
          </rPr>
          <t>What is your expected gross margin on project services?</t>
        </r>
      </text>
    </comment>
    <comment ref="C21" authorId="0" shapeId="0">
      <text>
        <r>
          <rPr>
            <b/>
            <sz val="9"/>
            <color indexed="81"/>
            <rFont val="Tahoma"/>
            <family val="2"/>
          </rPr>
          <t>For your subscription customer base overall, what will be the annual chrun rate? This must be expressed as a positive number (eg churn of 10% is 10%, not -10%)</t>
        </r>
      </text>
    </comment>
  </commentList>
</comments>
</file>

<file path=xl/sharedStrings.xml><?xml version="1.0" encoding="utf-8"?>
<sst xmlns="http://schemas.openxmlformats.org/spreadsheetml/2006/main" count="224" uniqueCount="158">
  <si>
    <t>Total Revenues</t>
  </si>
  <si>
    <t>Total Expenses</t>
  </si>
  <si>
    <t>Year 2</t>
  </si>
  <si>
    <t>Year 3</t>
  </si>
  <si>
    <t>Year 4</t>
  </si>
  <si>
    <t>Year 1</t>
  </si>
  <si>
    <t>% of revenue</t>
  </si>
  <si>
    <t>year 2</t>
  </si>
  <si>
    <t>year 3</t>
  </si>
  <si>
    <t>year 4</t>
  </si>
  <si>
    <t>Operating Expenses</t>
  </si>
  <si>
    <t>total operating expenses</t>
  </si>
  <si>
    <t>Year</t>
  </si>
  <si>
    <t>Month</t>
  </si>
  <si>
    <t>R&amp;D Costs</t>
  </si>
  <si>
    <t>year 1</t>
  </si>
  <si>
    <t>Monthly Cumulative Cash Flow</t>
  </si>
  <si>
    <t>Starting</t>
  </si>
  <si>
    <t>Ending</t>
  </si>
  <si>
    <t>total</t>
  </si>
  <si>
    <t>COGS</t>
  </si>
  <si>
    <t>OPEX</t>
  </si>
  <si>
    <t>Cloud Services</t>
  </si>
  <si>
    <t>Software Licenses (Own IP)</t>
  </si>
  <si>
    <t>3rd. Party Software</t>
  </si>
  <si>
    <t>Margin Structure</t>
  </si>
  <si>
    <t>Monthly Cash Flow (Cloud)</t>
  </si>
  <si>
    <t>managed services revenue per user per month</t>
  </si>
  <si>
    <t>professional services revenue per customer per year</t>
  </si>
  <si>
    <t>Cloud Professional Services</t>
  </si>
  <si>
    <t>Cloud</t>
  </si>
  <si>
    <t>revenue</t>
  </si>
  <si>
    <t>Other</t>
  </si>
  <si>
    <t>Dynamics Perpetual Licenses</t>
  </si>
  <si>
    <t>Traditional Software</t>
  </si>
  <si>
    <t>Traditional Services</t>
  </si>
  <si>
    <t>Cloud Software</t>
  </si>
  <si>
    <t>Own IP Subscriptions</t>
  </si>
  <si>
    <t>Dynamics Subscriptions</t>
  </si>
  <si>
    <t>Traditional Managed Services or Help Desk</t>
  </si>
  <si>
    <t>Traditional Professional Services</t>
  </si>
  <si>
    <t>Managed Services or Help Desk</t>
  </si>
  <si>
    <t>Other (Hardware, etc.)</t>
  </si>
  <si>
    <t>New Customer Subscription Implementation Costs</t>
  </si>
  <si>
    <t>Traditional Software &amp; Services</t>
  </si>
  <si>
    <t>Services/Software Ratio (Traditional)</t>
  </si>
  <si>
    <t>Services/Software Ratio (Cloud)</t>
  </si>
  <si>
    <t>Services</t>
  </si>
  <si>
    <t>Software</t>
  </si>
  <si>
    <t>Slider Bar Calculations</t>
  </si>
  <si>
    <t>Managed Services Attach Rate</t>
  </si>
  <si>
    <t>Managed Services</t>
  </si>
  <si>
    <t>Traditional Sales Costs (yr 0)</t>
  </si>
  <si>
    <t>Traditional Sales Cost Reduction</t>
  </si>
  <si>
    <t>Traditional Marketing Costs (yr 0)</t>
  </si>
  <si>
    <t>Traditional Marketing Costs Reduction</t>
  </si>
  <si>
    <t>G&amp;A Cost Reduction</t>
  </si>
  <si>
    <t>Own IP License Fee</t>
  </si>
  <si>
    <t xml:space="preserve"> </t>
  </si>
  <si>
    <t>Non-Recurring</t>
  </si>
  <si>
    <t>Recurring</t>
  </si>
  <si>
    <t>OM</t>
  </si>
  <si>
    <t>Valuation</t>
  </si>
  <si>
    <t>IRR</t>
  </si>
  <si>
    <t>IP Attach Rate</t>
  </si>
  <si>
    <t>Azure</t>
  </si>
  <si>
    <t>New Customer Adds</t>
  </si>
  <si>
    <t>Total New Customers</t>
  </si>
  <si>
    <t>Total New Customers with IP</t>
  </si>
  <si>
    <t>New Customer Implementation Revenue</t>
  </si>
  <si>
    <t>New Customer IP Revenue</t>
  </si>
  <si>
    <t>Total New Customers with Managed Service</t>
  </si>
  <si>
    <t>New Customer Managed Services Revenue</t>
  </si>
  <si>
    <t>New Customer Cloud Services Revenue</t>
  </si>
  <si>
    <t>New Customer Azure Revenue</t>
  </si>
  <si>
    <t>New Customer Implementation Costs</t>
  </si>
  <si>
    <t>New Customer IP Costs</t>
  </si>
  <si>
    <t>New Customer Managed Services Costs</t>
  </si>
  <si>
    <t>New Customer Cloud Services Costs</t>
  </si>
  <si>
    <t>New Customer Azure Costs</t>
  </si>
  <si>
    <t>Gross Margin (Managed Services)</t>
  </si>
  <si>
    <t>Azure Subscriptions</t>
  </si>
  <si>
    <t>Anticipated Azure Margin</t>
  </si>
  <si>
    <t>New Customer Ongoing Cloud Services Revenue</t>
  </si>
  <si>
    <t>New Customer Ongoing Cloud Services Costs</t>
  </si>
  <si>
    <t>IP</t>
  </si>
  <si>
    <t>Professional Services</t>
  </si>
  <si>
    <t>Approximate Working Capital Required</t>
  </si>
  <si>
    <t>Azure Consumption (per year)</t>
  </si>
  <si>
    <t>Revenue</t>
  </si>
  <si>
    <t>Contribution Margin</t>
  </si>
  <si>
    <t>Other Fixed Investments</t>
  </si>
  <si>
    <t>Customer Acquisition Costs</t>
  </si>
  <si>
    <t>Managed Services Fees</t>
  </si>
  <si>
    <t>Gross Margin (Project Services)</t>
  </si>
  <si>
    <t>Margin</t>
  </si>
  <si>
    <t>Anticipated Valuation Impact</t>
  </si>
  <si>
    <t>Upfront Project Services Fees</t>
  </si>
  <si>
    <t>Ongoing Project Services Fees</t>
  </si>
  <si>
    <t>P&amp;L Impact</t>
  </si>
  <si>
    <t>Anticipated IP Gross Margin</t>
  </si>
  <si>
    <t>Step 1 - Set Deal Structure</t>
  </si>
  <si>
    <t>Step 2 - Set Margin Structure</t>
  </si>
  <si>
    <t>Step 4 - Set Customer Adds</t>
  </si>
  <si>
    <t>Step 7 - IP Attach Rate</t>
  </si>
  <si>
    <t>Step 8 - Set Managed Services Attach Rate</t>
  </si>
  <si>
    <t>Step 5 - Set Customer Acquisition &amp; Retention Costs (Sales &amp; Marketing)</t>
  </si>
  <si>
    <t>Step 6 - Set Other Fixed Investments (R&amp;D, Training, Other Infrastructure, G&amp;A)</t>
  </si>
  <si>
    <t>Recurring Multiplier</t>
  </si>
  <si>
    <t>Non-Recurring Multiplier</t>
  </si>
  <si>
    <t>Contribution Margin ($)</t>
  </si>
  <si>
    <t>Contribution Margin (%)</t>
  </si>
  <si>
    <t>Gross Margin (%)</t>
  </si>
  <si>
    <t>Azure Financial Model</t>
  </si>
  <si>
    <t>Model Variable</t>
  </si>
  <si>
    <t>Variable Definition</t>
  </si>
  <si>
    <t>Typical Range</t>
  </si>
  <si>
    <t>The average amount you expect to charge the customer in upfront implementation fees for every new deal you do.</t>
  </si>
  <si>
    <t>Will vary widely depending on local market circumstances, as well as size, scope, and complexity of implementation. Simple migrations to O365 can be as low as $5k, while complex migrations to Azure can be as high as $500k.</t>
  </si>
  <si>
    <r>
      <t>The average amount you expect to charge the customer every year for any ongoing project work (</t>
    </r>
    <r>
      <rPr>
        <u/>
        <sz val="10"/>
        <color theme="1"/>
        <rFont val="Segoe UI"/>
        <family val="2"/>
      </rPr>
      <t>excluding</t>
    </r>
    <r>
      <rPr>
        <sz val="10"/>
        <color theme="1"/>
        <rFont val="Segoe UI"/>
        <family val="2"/>
      </rPr>
      <t xml:space="preserve"> managed services).</t>
    </r>
  </si>
  <si>
    <r>
      <t xml:space="preserve">Will vary widely depending on the nature of the initial project, and whether a phased approach is taken. Research has shown that anywhere from 10% to 100% of initial project fees may be charged on an ongoing basis. Note that this is </t>
    </r>
    <r>
      <rPr>
        <u/>
        <sz val="10"/>
        <color theme="1"/>
        <rFont val="Segoe UI"/>
        <family val="2"/>
      </rPr>
      <t>not</t>
    </r>
    <r>
      <rPr>
        <sz val="10"/>
        <color theme="1"/>
        <rFont val="Segoe UI"/>
        <family val="2"/>
      </rPr>
      <t xml:space="preserve"> the same as managed services fees, which are contracted rather than project-based.</t>
    </r>
  </si>
  <si>
    <t>The average amount you expect to expect to drive in terms of Azure consumption, per year, for every new deal you do.</t>
  </si>
  <si>
    <t>Will vary widely depending on the size of the customer and what is being supported on Azure. Could be anywhere from a few thousand dollars per year (or less), to several hundred thousand.</t>
  </si>
  <si>
    <t>The average amount you expect to charge the customer (per user per month) for any of your own IP that you attach, bundle, or embed with O365 or CRM online.</t>
  </si>
  <si>
    <t>Will vary widely depending on the nature of the IP you develop, the market you operate in, and the IP’s utility to the customer. Could be as low as a few dollars a month, to several hundred.</t>
  </si>
  <si>
    <t>The average amount you expect to charge the customer for any managed services you provide.</t>
  </si>
  <si>
    <t>Will vary widely depending on the market you operate in, and the composition of your managed service offering. Could be as low as $10-$15 per user per month, to several thousand dollars per customer per year.</t>
  </si>
  <si>
    <t>Azure Margin &amp; Incentives</t>
  </si>
  <si>
    <t>The expected margin to you from any Azure consumption you drive.</t>
  </si>
  <si>
    <t>Typically 10% - 20%</t>
  </si>
  <si>
    <t>The expected gross margin you will achieve any project services you deliver to the customer (this should be based on your historical project services gross margin, unless you anticipate it to change).</t>
  </si>
  <si>
    <t>Will vary depending on local market circumstances, and management effectiveness in managing utilization. Typically ranges anywhere from 10% to 40%.</t>
  </si>
  <si>
    <t>The expected gross margin you will achieve any managed services you deliver to the customer (this should be based on your historical managed services gross margin, unless you anticipate it to change, and will often be different from your project services gross margin).</t>
  </si>
  <si>
    <t>Will vary depending on local market circumstances, and management effectiveness in managing utilization. Typically ranges anywhere from 10% to 50%.</t>
  </si>
  <si>
    <t>Anticipated IP Margin</t>
  </si>
  <si>
    <t>The expected gross margin you will achieve any of your own IP that you deliver to the customer (this should be based on your historical IP gross margin, if available).</t>
  </si>
  <si>
    <t>Will vary depending on the development leverage gained from working with customers who fund the initial development, but can be as high as 70% to 90% in some cases.</t>
  </si>
  <si>
    <t>Customer Adds</t>
  </si>
  <si>
    <t>The amount of new customers you will add in each of years 1 through 4 (note that these are additive, not cumulative)</t>
  </si>
  <si>
    <t>Will vary depending on how aggressive a Partner is in pursuing in pursuing the Cloud opportunity, and the customer segment targeted. Could be anywhere from 5-10 per year, to several hundred.</t>
  </si>
  <si>
    <t>Customer Acquisition &amp; Retention Costs</t>
  </si>
  <si>
    <t>Given your customer add assumptions for each year, the amount you will spend on sales and marketing costs in each of years 1 through 4.</t>
  </si>
  <si>
    <t>Will vary widely depending on market segment targeted, and pre-existing sales and marketing capabilities. As a rule of thumb and best practice, however, a Partner should conservatively assume a customer acquisition cost of 20%-25% of first year’s revenue.</t>
  </si>
  <si>
    <t>Given your Cloud offering and existing resource pool, the amount you will need to invest in training, R&amp;D, demand generation and other infrastructure in each of years 1 through 4.</t>
  </si>
  <si>
    <t>Will vary widely depending on whether a Partner “re-skills” an existing resource pool versus net new hiring, whether IP is developed and bundled into the Cloud offering, and what incremental marketing and sales infrastructure investments are needed to achieve the desired customer adds.</t>
  </si>
  <si>
    <t>The percentage of new customers and users added that you expect to subscribe to your managed service offering, mentioned above.</t>
  </si>
  <si>
    <t>Will vary widely depending on the composition of the managed service, the customer segment targeted, and the degree to which it is “bundled” into the Cloud offering. Could be literally anywhere from 0%-90% or higher.</t>
  </si>
  <si>
    <t>The percentage of new customers and users added that you expect to license your own IP, mentioned above.</t>
  </si>
  <si>
    <t>Will vary widely depending on the nature and utility of the IP, and the degree to which it is “bundled” into the Cloud offering. Could be literally anywhere from 0%-90% or higher.</t>
  </si>
  <si>
    <t>Recurring Margin Multiplier</t>
  </si>
  <si>
    <t>From a valuation perspective, the amount a potential buyer would consider an appropriate multiplier for recurring margin in your local market (based on research, 5 is a conservative assumption, but change this assumption if you feel it is not representative of buyers in your local market).</t>
  </si>
  <si>
    <t>Typically 4-7</t>
  </si>
  <si>
    <t>Non-Recurring Margin Multiplier</t>
  </si>
  <si>
    <t>From a valuation perspective, the amount a potential buyer would consider an appropriate multiplier for non-recurring margin in your local market (based on research, 1.5 is a conservative assumption, but change this assumption if you feel it is not representative of buyers in your local market).</t>
  </si>
  <si>
    <t>Typically 1-3</t>
  </si>
  <si>
    <t>© CloudSpeed 2017. All rights reserved.</t>
  </si>
  <si>
    <t>Step 3 - Set Subscription Churn, per annum</t>
  </si>
  <si>
    <t>Step 9 - Set Margin Multiplier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</si>
</sst>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3" formatCode="_-* #,##0.00_-;\-* #,##0.00_-;_-* &quot;-&quot;??_-;_-@_-"/>
    <numFmt numFmtId="164" formatCode="&quot;$&quot;#,##0"/>
    <numFmt numFmtId="165" formatCode="0.0%"/>
    <numFmt numFmtId="166" formatCode="0.0"/>
    <numFmt numFmtId="167" formatCode="#,##0_ ;[Red]\-#,##0\ "/>
    <numFmt numFmtId="168" formatCode="&quot;$&quot;#,##0.00"/>
    <numFmt numFmtId="169" formatCode="0.0000"/>
    <numFmt numFmtId="170" formatCode="#,##0.000"/>
    <numFmt numFmtId="171" formatCode="[$€-2]\ #,##0"/>
    <numFmt numFmtId="172" formatCode="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font>
    <font>
      <sz val="11"/>
      <name val="Calibri"/>
      <family val="2"/>
      <scheme val="minor"/>
    </font>
    <font>
      <b/>
      <sz val="14"/>
      <name val="Calibri"/>
      <family val="2"/>
      <scheme val="minor"/>
    </font>
    <font>
      <b/>
      <sz val="11"/>
      <name val="Calibri"/>
      <family val="2"/>
      <scheme val="minor"/>
    </font>
    <font>
      <b/>
      <sz val="11"/>
      <color theme="0"/>
      <name val="Calibri"/>
      <family val="2"/>
    </font>
    <font>
      <b/>
      <sz val="9"/>
      <color indexed="81"/>
      <name val="Tahoma"/>
      <family val="2"/>
    </font>
    <font>
      <b/>
      <sz val="11"/>
      <color theme="0"/>
      <name val="Segoe UI"/>
      <family val="2"/>
    </font>
    <font>
      <sz val="10"/>
      <color theme="1"/>
      <name val="Segoe UI"/>
      <family val="2"/>
    </font>
    <font>
      <b/>
      <sz val="10"/>
      <color theme="1"/>
      <name val="Segoe UI"/>
      <family val="2"/>
    </font>
    <font>
      <sz val="11"/>
      <color theme="1"/>
      <name val="Segoe UI"/>
      <family val="2"/>
    </font>
    <font>
      <b/>
      <sz val="10"/>
      <color theme="0"/>
      <name val="Segoe UI"/>
      <family val="2"/>
    </font>
    <font>
      <sz val="10"/>
      <color rgb="FFFF0000"/>
      <name val="Segoe UI"/>
      <family val="2"/>
    </font>
    <font>
      <b/>
      <sz val="10"/>
      <name val="Segoe UI"/>
      <family val="2"/>
    </font>
    <font>
      <sz val="10"/>
      <color theme="0"/>
      <name val="Segoe UI"/>
      <family val="2"/>
    </font>
    <font>
      <sz val="10"/>
      <name val="Segoe UI"/>
      <family val="2"/>
    </font>
    <font>
      <sz val="10"/>
      <color indexed="81"/>
      <name val="Tahoma"/>
      <family val="2"/>
    </font>
    <font>
      <b/>
      <sz val="14"/>
      <color theme="0"/>
      <name val="Segoe UI"/>
      <family val="2"/>
    </font>
    <font>
      <sz val="10"/>
      <color rgb="FF000000"/>
      <name val="Segoe UI"/>
      <family val="2"/>
    </font>
    <font>
      <u/>
      <sz val="10"/>
      <color theme="1"/>
      <name val="Segoe UI"/>
      <family val="2"/>
    </font>
    <font>
      <b/>
      <sz val="12"/>
      <color theme="1"/>
      <name val="Segoe UI"/>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rgb="FF3399FF"/>
        <bgColor indexed="64"/>
      </patternFill>
    </fill>
    <fill>
      <patternFill patternType="solid">
        <fgColor rgb="FF000000"/>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85">
    <xf numFmtId="0" fontId="0" fillId="0" borderId="0" xfId="0"/>
    <xf numFmtId="0" fontId="4" fillId="3" borderId="0" xfId="0" applyFont="1" applyFill="1"/>
    <xf numFmtId="0" fontId="6" fillId="3" borderId="0" xfId="0" applyFont="1" applyFill="1"/>
    <xf numFmtId="3" fontId="4" fillId="3" borderId="0" xfId="0" applyNumberFormat="1" applyFont="1" applyFill="1"/>
    <xf numFmtId="164" fontId="4" fillId="3" borderId="0" xfId="0" applyNumberFormat="1" applyFont="1" applyFill="1"/>
    <xf numFmtId="1" fontId="4" fillId="3" borderId="0" xfId="0" applyNumberFormat="1" applyFont="1" applyFill="1"/>
    <xf numFmtId="2" fontId="4" fillId="3" borderId="0" xfId="0" applyNumberFormat="1" applyFont="1" applyFill="1"/>
    <xf numFmtId="0" fontId="6" fillId="3" borderId="0" xfId="0" applyFont="1" applyFill="1" applyAlignment="1">
      <alignment horizontal="right"/>
    </xf>
    <xf numFmtId="3" fontId="6" fillId="3" borderId="0" xfId="0" applyNumberFormat="1" applyFont="1" applyFill="1"/>
    <xf numFmtId="0" fontId="0" fillId="0" borderId="0" xfId="0" applyFont="1" applyBorder="1"/>
    <xf numFmtId="3" fontId="4" fillId="0" borderId="0" xfId="0" applyNumberFormat="1" applyFont="1" applyFill="1"/>
    <xf numFmtId="0" fontId="4" fillId="0" borderId="0" xfId="0" applyFont="1" applyFill="1"/>
    <xf numFmtId="3" fontId="0" fillId="0" borderId="0" xfId="0" applyNumberFormat="1"/>
    <xf numFmtId="0" fontId="0" fillId="0" borderId="0" xfId="0" applyFill="1" applyBorder="1" applyAlignment="1" applyProtection="1">
      <alignment horizontal="left"/>
    </xf>
    <xf numFmtId="0" fontId="2" fillId="0" borderId="0" xfId="0" applyFont="1"/>
    <xf numFmtId="166" fontId="0" fillId="0" borderId="0" xfId="0" applyNumberFormat="1"/>
    <xf numFmtId="164" fontId="4" fillId="0" borderId="0" xfId="0" applyNumberFormat="1" applyFont="1" applyFill="1" applyAlignment="1">
      <alignment horizontal="right"/>
    </xf>
    <xf numFmtId="170" fontId="4" fillId="3" borderId="0" xfId="0" applyNumberFormat="1" applyFont="1" applyFill="1"/>
    <xf numFmtId="165" fontId="4" fillId="3" borderId="0" xfId="1" applyNumberFormat="1" applyFont="1" applyFill="1"/>
    <xf numFmtId="4" fontId="4" fillId="3" borderId="0" xfId="0" applyNumberFormat="1" applyFont="1" applyFill="1"/>
    <xf numFmtId="164" fontId="4" fillId="3" borderId="0" xfId="0" applyNumberFormat="1" applyFont="1" applyFill="1" applyAlignment="1">
      <alignment horizontal="right"/>
    </xf>
    <xf numFmtId="166" fontId="4" fillId="3" borderId="0" xfId="0" applyNumberFormat="1" applyFont="1" applyFill="1"/>
    <xf numFmtId="9" fontId="4" fillId="3" borderId="0" xfId="1" applyNumberFormat="1" applyFont="1" applyFill="1"/>
    <xf numFmtId="10" fontId="4" fillId="3" borderId="0" xfId="1" applyNumberFormat="1" applyFont="1" applyFill="1"/>
    <xf numFmtId="172" fontId="4" fillId="3" borderId="0" xfId="1" applyNumberFormat="1" applyFont="1" applyFill="1"/>
    <xf numFmtId="0" fontId="12" fillId="0" borderId="0" xfId="0" applyFont="1"/>
    <xf numFmtId="0" fontId="12" fillId="0" borderId="0" xfId="0" applyFont="1" applyFill="1"/>
    <xf numFmtId="0" fontId="10" fillId="0" borderId="0" xfId="0" applyFont="1" applyProtection="1"/>
    <xf numFmtId="0" fontId="10" fillId="0" borderId="0" xfId="0" applyFont="1" applyFill="1" applyProtection="1"/>
    <xf numFmtId="0" fontId="13" fillId="0" borderId="0" xfId="0" applyFont="1" applyFill="1" applyBorder="1" applyAlignment="1" applyProtection="1">
      <alignment horizontal="center"/>
    </xf>
    <xf numFmtId="0" fontId="10" fillId="0" borderId="5" xfId="0" applyFont="1" applyBorder="1" applyAlignment="1" applyProtection="1">
      <alignment horizontal="right"/>
    </xf>
    <xf numFmtId="164" fontId="14" fillId="0" borderId="6" xfId="0" applyNumberFormat="1" applyFont="1" applyFill="1" applyBorder="1" applyAlignment="1" applyProtection="1">
      <alignment horizontal="center" vertical="center"/>
      <protection locked="0"/>
    </xf>
    <xf numFmtId="171" fontId="14" fillId="0" borderId="0" xfId="0" applyNumberFormat="1" applyFont="1" applyFill="1" applyBorder="1" applyAlignment="1" applyProtection="1">
      <alignment horizontal="center" vertical="center"/>
    </xf>
    <xf numFmtId="9" fontId="14" fillId="0" borderId="6" xfId="1" applyNumberFormat="1" applyFont="1" applyFill="1" applyBorder="1" applyAlignment="1" applyProtection="1">
      <alignment horizontal="center" vertical="center"/>
      <protection locked="0"/>
    </xf>
    <xf numFmtId="9" fontId="14" fillId="0" borderId="0" xfId="1" applyNumberFormat="1" applyFont="1" applyFill="1" applyBorder="1" applyAlignment="1" applyProtection="1">
      <alignment horizontal="center" vertical="center"/>
    </xf>
    <xf numFmtId="164" fontId="14" fillId="0" borderId="6" xfId="1" applyNumberFormat="1" applyFont="1" applyFill="1" applyBorder="1" applyAlignment="1" applyProtection="1">
      <alignment horizontal="center"/>
      <protection locked="0"/>
    </xf>
    <xf numFmtId="171" fontId="14" fillId="0" borderId="0" xfId="1" applyNumberFormat="1" applyFont="1" applyFill="1" applyBorder="1" applyAlignment="1" applyProtection="1">
      <alignment horizontal="center"/>
    </xf>
    <xf numFmtId="9" fontId="14" fillId="0" borderId="6" xfId="1" applyNumberFormat="1" applyFont="1" applyFill="1" applyBorder="1" applyAlignment="1" applyProtection="1">
      <alignment horizontal="center"/>
      <protection locked="0"/>
    </xf>
    <xf numFmtId="9" fontId="14" fillId="0" borderId="0" xfId="1" applyNumberFormat="1" applyFont="1" applyFill="1" applyBorder="1" applyAlignment="1" applyProtection="1">
      <alignment horizontal="center"/>
    </xf>
    <xf numFmtId="9" fontId="14" fillId="0" borderId="8" xfId="1" applyNumberFormat="1" applyFont="1" applyFill="1" applyBorder="1" applyAlignment="1" applyProtection="1">
      <alignment horizontal="center"/>
      <protection locked="0"/>
    </xf>
    <xf numFmtId="0" fontId="10" fillId="0" borderId="7" xfId="0" applyFont="1" applyBorder="1" applyAlignment="1" applyProtection="1">
      <alignment horizontal="right"/>
    </xf>
    <xf numFmtId="164" fontId="14" fillId="0" borderId="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xf>
    <xf numFmtId="0" fontId="15" fillId="0" borderId="0" xfId="0" applyFont="1" applyFill="1" applyBorder="1" applyAlignment="1" applyProtection="1">
      <alignment horizontal="center" vertical="center" textRotation="90"/>
    </xf>
    <xf numFmtId="0" fontId="15" fillId="0" borderId="0" xfId="0" applyFont="1" applyAlignment="1" applyProtection="1">
      <alignment horizontal="center" vertical="center" textRotation="90"/>
    </xf>
    <xf numFmtId="0" fontId="14" fillId="0" borderId="8"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0" fillId="0" borderId="0" xfId="0" applyFont="1" applyBorder="1" applyProtection="1"/>
    <xf numFmtId="0" fontId="13" fillId="0" borderId="0" xfId="0" applyFont="1" applyFill="1" applyBorder="1" applyAlignment="1" applyProtection="1">
      <alignment horizontal="center" vertical="center" wrapText="1"/>
    </xf>
    <xf numFmtId="171" fontId="14"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center"/>
    </xf>
    <xf numFmtId="0" fontId="10" fillId="0" borderId="0" xfId="0" applyFont="1" applyFill="1" applyBorder="1" applyProtection="1"/>
    <xf numFmtId="164" fontId="14" fillId="0" borderId="8" xfId="1" applyNumberFormat="1" applyFont="1" applyFill="1" applyBorder="1" applyAlignment="1" applyProtection="1">
      <alignment horizontal="center"/>
      <protection locked="0"/>
    </xf>
    <xf numFmtId="164" fontId="14" fillId="0" borderId="0" xfId="1" applyNumberFormat="1" applyFont="1" applyFill="1" applyBorder="1" applyAlignment="1" applyProtection="1">
      <alignment horizontal="center"/>
    </xf>
    <xf numFmtId="0" fontId="10" fillId="0" borderId="0" xfId="0" applyFont="1" applyAlignment="1" applyProtection="1">
      <alignment horizontal="center"/>
    </xf>
    <xf numFmtId="0" fontId="13" fillId="0" borderId="0" xfId="0" applyFont="1" applyFill="1" applyBorder="1" applyAlignment="1" applyProtection="1"/>
    <xf numFmtId="0" fontId="14" fillId="0" borderId="6" xfId="0" applyFont="1" applyFill="1" applyBorder="1" applyAlignment="1" applyProtection="1">
      <alignment horizontal="center" vertical="center"/>
      <protection locked="0"/>
    </xf>
    <xf numFmtId="9" fontId="10" fillId="0" borderId="0" xfId="1" applyFont="1" applyAlignment="1" applyProtection="1">
      <alignment horizontal="left"/>
    </xf>
    <xf numFmtId="0" fontId="11" fillId="0" borderId="0" xfId="0" applyFont="1" applyFill="1" applyBorder="1" applyAlignment="1" applyProtection="1">
      <alignment horizontal="right"/>
    </xf>
    <xf numFmtId="166" fontId="11" fillId="0" borderId="0" xfId="0" applyNumberFormat="1" applyFont="1" applyFill="1" applyBorder="1" applyAlignment="1" applyProtection="1">
      <alignment horizontal="center"/>
    </xf>
    <xf numFmtId="171" fontId="11" fillId="0" borderId="0" xfId="0" applyNumberFormat="1" applyFont="1" applyFill="1" applyBorder="1" applyAlignment="1" applyProtection="1">
      <alignment horizontal="center"/>
    </xf>
    <xf numFmtId="0" fontId="10" fillId="0" borderId="0" xfId="2" applyNumberFormat="1" applyFont="1" applyAlignment="1" applyProtection="1">
      <alignment horizontal="left"/>
    </xf>
    <xf numFmtId="0" fontId="10" fillId="0" borderId="0" xfId="0" applyFont="1" applyAlignment="1" applyProtection="1">
      <alignment horizontal="left"/>
    </xf>
    <xf numFmtId="164" fontId="10" fillId="2" borderId="6" xfId="0" applyNumberFormat="1" applyFont="1" applyFill="1" applyBorder="1" applyAlignment="1" applyProtection="1">
      <alignment horizontal="center"/>
    </xf>
    <xf numFmtId="171" fontId="10" fillId="0" borderId="0" xfId="0" applyNumberFormat="1" applyFont="1" applyProtection="1"/>
    <xf numFmtId="164" fontId="10" fillId="2" borderId="8" xfId="0" applyNumberFormat="1" applyFont="1" applyFill="1" applyBorder="1" applyAlignment="1" applyProtection="1">
      <alignment horizontal="center"/>
    </xf>
    <xf numFmtId="0" fontId="11" fillId="0" borderId="0" xfId="0" applyFont="1" applyFill="1" applyAlignment="1" applyProtection="1">
      <alignment horizontal="right" vertical="center"/>
    </xf>
    <xf numFmtId="165" fontId="10" fillId="0" borderId="0" xfId="1" applyNumberFormat="1" applyFont="1" applyFill="1" applyAlignment="1" applyProtection="1">
      <alignment horizontal="center"/>
    </xf>
    <xf numFmtId="0" fontId="10" fillId="0" borderId="0" xfId="0" applyFont="1" applyAlignment="1" applyProtection="1">
      <alignment horizontal="right"/>
    </xf>
    <xf numFmtId="164" fontId="10" fillId="0" borderId="0" xfId="0" applyNumberFormat="1" applyFont="1" applyProtection="1"/>
    <xf numFmtId="6" fontId="10" fillId="0" borderId="0" xfId="0" applyNumberFormat="1" applyFont="1" applyProtection="1"/>
    <xf numFmtId="0" fontId="10" fillId="0" borderId="0"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0" xfId="0" applyFont="1" applyFill="1" applyBorder="1" applyAlignment="1" applyProtection="1">
      <alignment horizontal="center"/>
    </xf>
    <xf numFmtId="0" fontId="10" fillId="0" borderId="0" xfId="0" applyFont="1" applyAlignment="1" applyProtection="1">
      <alignment horizontal="center"/>
      <protection locked="0"/>
    </xf>
    <xf numFmtId="0" fontId="10" fillId="0" borderId="0" xfId="0" applyFont="1" applyAlignment="1" applyProtection="1"/>
    <xf numFmtId="6" fontId="10" fillId="0" borderId="0" xfId="0" applyNumberFormat="1" applyFont="1" applyFill="1" applyProtection="1"/>
    <xf numFmtId="165" fontId="10" fillId="0" borderId="0" xfId="1" applyNumberFormat="1" applyFont="1" applyProtection="1"/>
    <xf numFmtId="0" fontId="10" fillId="0" borderId="0" xfId="0" applyFont="1" applyAlignment="1" applyProtection="1">
      <alignment horizontal="right" wrapText="1"/>
    </xf>
    <xf numFmtId="0" fontId="10" fillId="0" borderId="0" xfId="0" applyFont="1" applyFill="1" applyAlignment="1" applyProtection="1">
      <alignment horizontal="left"/>
    </xf>
    <xf numFmtId="164" fontId="10" fillId="0" borderId="1" xfId="0" applyNumberFormat="1" applyFont="1" applyFill="1" applyBorder="1" applyProtection="1"/>
    <xf numFmtId="164" fontId="10" fillId="0" borderId="0" xfId="0" applyNumberFormat="1" applyFont="1" applyBorder="1" applyProtection="1"/>
    <xf numFmtId="165" fontId="17" fillId="0" borderId="0" xfId="1" applyNumberFormat="1" applyFont="1" applyProtection="1"/>
    <xf numFmtId="164" fontId="10" fillId="0" borderId="1" xfId="0" applyNumberFormat="1" applyFont="1" applyBorder="1" applyProtection="1"/>
    <xf numFmtId="164" fontId="10" fillId="0" borderId="0" xfId="0" applyNumberFormat="1" applyFont="1" applyBorder="1" applyAlignment="1" applyProtection="1">
      <alignment horizontal="right"/>
    </xf>
    <xf numFmtId="164" fontId="17" fillId="0" borderId="0" xfId="0" applyNumberFormat="1" applyFont="1" applyProtection="1"/>
    <xf numFmtId="165" fontId="10" fillId="0" borderId="0" xfId="0" applyNumberFormat="1" applyFont="1" applyProtection="1"/>
    <xf numFmtId="165" fontId="10" fillId="0" borderId="0" xfId="1" applyNumberFormat="1" applyFont="1" applyAlignment="1" applyProtection="1">
      <alignment horizontal="right"/>
    </xf>
    <xf numFmtId="169" fontId="10" fillId="0" borderId="0" xfId="0" applyNumberFormat="1" applyFont="1" applyAlignment="1" applyProtection="1">
      <alignment horizontal="right"/>
    </xf>
    <xf numFmtId="164" fontId="10" fillId="0" borderId="1" xfId="0" applyNumberFormat="1" applyFont="1" applyBorder="1" applyAlignment="1" applyProtection="1">
      <alignment horizontal="right"/>
    </xf>
    <xf numFmtId="171" fontId="10" fillId="0" borderId="0" xfId="0" applyNumberFormat="1" applyFont="1" applyAlignment="1" applyProtection="1">
      <alignment horizontal="right"/>
    </xf>
    <xf numFmtId="164" fontId="10" fillId="0" borderId="0" xfId="0" applyNumberFormat="1" applyFont="1" applyAlignment="1" applyProtection="1">
      <alignment horizontal="right"/>
    </xf>
    <xf numFmtId="168" fontId="10" fillId="0" borderId="0" xfId="0" applyNumberFormat="1" applyFont="1" applyProtection="1"/>
    <xf numFmtId="164" fontId="10" fillId="0" borderId="1" xfId="0" applyNumberFormat="1" applyFont="1" applyFill="1" applyBorder="1" applyAlignment="1" applyProtection="1">
      <alignment horizontal="right"/>
    </xf>
    <xf numFmtId="168" fontId="10" fillId="0" borderId="0" xfId="0" applyNumberFormat="1" applyFont="1" applyFill="1" applyProtection="1"/>
    <xf numFmtId="164" fontId="17" fillId="0" borderId="0" xfId="0" applyNumberFormat="1" applyFont="1" applyAlignment="1" applyProtection="1">
      <alignment horizontal="right"/>
    </xf>
    <xf numFmtId="9" fontId="10" fillId="0" borderId="0" xfId="1" applyFont="1" applyProtection="1"/>
    <xf numFmtId="164" fontId="10" fillId="0" borderId="0" xfId="0" applyNumberFormat="1" applyFont="1" applyFill="1" applyBorder="1" applyProtection="1"/>
    <xf numFmtId="164" fontId="10" fillId="0" borderId="0" xfId="0" applyNumberFormat="1" applyFont="1" applyFill="1" applyProtection="1"/>
    <xf numFmtId="167" fontId="10" fillId="2" borderId="0" xfId="0" applyNumberFormat="1" applyFont="1" applyFill="1" applyProtection="1"/>
    <xf numFmtId="164" fontId="10" fillId="2" borderId="0" xfId="0" applyNumberFormat="1" applyFont="1" applyFill="1" applyProtection="1"/>
    <xf numFmtId="9" fontId="10" fillId="0" borderId="0" xfId="1" applyFont="1" applyFill="1" applyProtection="1"/>
    <xf numFmtId="0" fontId="10" fillId="5" borderId="0" xfId="0" applyFont="1" applyFill="1" applyProtection="1"/>
    <xf numFmtId="165" fontId="17" fillId="5" borderId="0" xfId="1" applyNumberFormat="1" applyFont="1" applyFill="1" applyProtection="1"/>
    <xf numFmtId="0" fontId="10" fillId="5" borderId="0" xfId="0" applyFont="1" applyFill="1" applyAlignment="1" applyProtection="1">
      <alignment horizontal="right"/>
    </xf>
    <xf numFmtId="165" fontId="10" fillId="5" borderId="0" xfId="1" applyNumberFormat="1" applyFont="1" applyFill="1" applyProtection="1"/>
    <xf numFmtId="165" fontId="10" fillId="5" borderId="0" xfId="1" applyNumberFormat="1" applyFont="1" applyFill="1" applyAlignment="1" applyProtection="1">
      <alignment horizontal="right"/>
    </xf>
    <xf numFmtId="6" fontId="10" fillId="0" borderId="0" xfId="1" applyNumberFormat="1" applyFont="1" applyProtection="1"/>
    <xf numFmtId="0" fontId="12" fillId="0" borderId="0" xfId="0" applyFont="1" applyAlignment="1">
      <alignment horizontal="right"/>
    </xf>
    <xf numFmtId="164" fontId="12" fillId="0" borderId="0" xfId="0" applyNumberFormat="1" applyFont="1"/>
    <xf numFmtId="0" fontId="11" fillId="0" borderId="0" xfId="0" applyFont="1" applyAlignment="1" applyProtection="1">
      <alignment horizontal="center" vertical="center" textRotation="90"/>
    </xf>
    <xf numFmtId="0" fontId="11" fillId="0" borderId="0" xfId="0" applyFont="1" applyFill="1" applyBorder="1" applyAlignment="1" applyProtection="1">
      <alignment horizontal="center"/>
    </xf>
    <xf numFmtId="0" fontId="19" fillId="0" borderId="0" xfId="0" applyFont="1" applyFill="1" applyAlignment="1" applyProtection="1">
      <alignment horizontal="center" vertical="center" wrapText="1"/>
    </xf>
    <xf numFmtId="0" fontId="19" fillId="0" borderId="0" xfId="0" applyFont="1" applyFill="1" applyAlignment="1" applyProtection="1">
      <alignment vertical="center" wrapText="1"/>
    </xf>
    <xf numFmtId="0" fontId="10" fillId="0" borderId="5" xfId="0" applyFont="1" applyFill="1" applyBorder="1" applyProtection="1"/>
    <xf numFmtId="0" fontId="10" fillId="0" borderId="0" xfId="0" applyFont="1" applyFill="1" applyBorder="1" applyAlignment="1" applyProtection="1">
      <alignment horizontal="right"/>
    </xf>
    <xf numFmtId="0" fontId="11" fillId="0" borderId="7" xfId="0" applyFont="1" applyBorder="1" applyAlignment="1" applyProtection="1">
      <alignment horizontal="right" vertical="center"/>
    </xf>
    <xf numFmtId="0" fontId="16" fillId="0" borderId="0" xfId="0" applyFont="1" applyFill="1" applyBorder="1" applyProtection="1"/>
    <xf numFmtId="164" fontId="14" fillId="0" borderId="0" xfId="0" applyNumberFormat="1" applyFont="1" applyFill="1" applyBorder="1" applyAlignment="1" applyProtection="1">
      <alignment horizontal="center" vertical="center"/>
    </xf>
    <xf numFmtId="0" fontId="11" fillId="0" borderId="4"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0" xfId="0" applyFont="1" applyBorder="1" applyAlignment="1" applyProtection="1">
      <alignment horizontal="center" vertical="center"/>
    </xf>
    <xf numFmtId="164" fontId="10" fillId="2" borderId="1" xfId="0" applyNumberFormat="1" applyFont="1" applyFill="1" applyBorder="1" applyAlignment="1" applyProtection="1">
      <alignment horizontal="center"/>
    </xf>
    <xf numFmtId="164" fontId="14" fillId="0" borderId="1" xfId="0" applyNumberFormat="1" applyFont="1" applyFill="1" applyBorder="1" applyAlignment="1" applyProtection="1">
      <alignment horizontal="center"/>
      <protection locked="0"/>
    </xf>
    <xf numFmtId="164" fontId="14" fillId="0" borderId="1" xfId="1" applyNumberFormat="1" applyFont="1" applyFill="1" applyBorder="1" applyAlignment="1" applyProtection="1">
      <alignment horizontal="center"/>
      <protection locked="0"/>
    </xf>
    <xf numFmtId="164" fontId="10" fillId="2" borderId="0" xfId="0" applyNumberFormat="1" applyFont="1" applyFill="1" applyBorder="1" applyAlignment="1" applyProtection="1">
      <alignment horizontal="center"/>
    </xf>
    <xf numFmtId="0" fontId="14" fillId="0" borderId="1" xfId="0" applyFont="1" applyFill="1" applyBorder="1" applyAlignment="1" applyProtection="1">
      <alignment horizontal="center" vertical="center"/>
      <protection locked="0"/>
    </xf>
    <xf numFmtId="6" fontId="10" fillId="0" borderId="0" xfId="0" applyNumberFormat="1" applyFont="1" applyBorder="1" applyAlignment="1" applyProtection="1">
      <alignment horizontal="center" vertical="center"/>
    </xf>
    <xf numFmtId="0" fontId="15" fillId="0" borderId="0" xfId="0" applyFont="1" applyFill="1" applyBorder="1" applyAlignment="1" applyProtection="1">
      <alignment horizontal="right" vertical="center" wrapText="1"/>
    </xf>
    <xf numFmtId="164" fontId="13" fillId="0" borderId="0" xfId="0" applyNumberFormat="1" applyFont="1" applyFill="1" applyBorder="1" applyAlignment="1" applyProtection="1"/>
    <xf numFmtId="164" fontId="10" fillId="0" borderId="0" xfId="0" applyNumberFormat="1" applyFont="1" applyFill="1" applyBorder="1" applyAlignment="1" applyProtection="1"/>
    <xf numFmtId="0" fontId="10" fillId="0" borderId="5" xfId="0" applyFont="1" applyBorder="1" applyProtection="1"/>
    <xf numFmtId="0" fontId="10" fillId="0" borderId="7" xfId="0" applyFont="1" applyBorder="1" applyProtection="1"/>
    <xf numFmtId="0" fontId="9" fillId="7" borderId="11" xfId="0" applyFont="1" applyFill="1" applyBorder="1" applyAlignment="1">
      <alignment vertical="center" wrapText="1"/>
    </xf>
    <xf numFmtId="0" fontId="9" fillId="7" borderId="12" xfId="0" applyFont="1" applyFill="1" applyBorder="1" applyAlignment="1">
      <alignment vertical="center" wrapText="1"/>
    </xf>
    <xf numFmtId="0" fontId="10" fillId="0" borderId="9" xfId="0" applyFont="1" applyBorder="1" applyAlignment="1">
      <alignment vertical="top" wrapText="1"/>
    </xf>
    <xf numFmtId="0" fontId="20" fillId="0" borderId="9" xfId="0" applyFont="1" applyBorder="1" applyAlignment="1">
      <alignment vertical="top" wrapText="1"/>
    </xf>
    <xf numFmtId="9" fontId="4" fillId="3" borderId="0" xfId="1" applyFont="1" applyFill="1"/>
    <xf numFmtId="0" fontId="0" fillId="0" borderId="0" xfId="0" applyFill="1" applyBorder="1" applyAlignment="1" applyProtection="1">
      <alignment horizontal="center"/>
    </xf>
    <xf numFmtId="164" fontId="14" fillId="0" borderId="1"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xf>
    <xf numFmtId="164" fontId="11" fillId="2" borderId="6" xfId="0" applyNumberFormat="1" applyFont="1" applyFill="1" applyBorder="1" applyAlignment="1" applyProtection="1">
      <alignment horizontal="center" vertical="center"/>
    </xf>
    <xf numFmtId="164" fontId="11" fillId="2" borderId="8"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13" fillId="4" borderId="6"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3" fillId="4" borderId="0" xfId="0" applyFont="1" applyFill="1" applyBorder="1" applyAlignment="1" applyProtection="1">
      <alignment horizontal="center" vertical="center" wrapText="1"/>
    </xf>
    <xf numFmtId="0" fontId="11" fillId="0" borderId="4"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textRotation="90"/>
    </xf>
    <xf numFmtId="0" fontId="13" fillId="4" borderId="2"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4"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164" fontId="13" fillId="4" borderId="2" xfId="0" applyNumberFormat="1" applyFont="1" applyFill="1" applyBorder="1" applyAlignment="1" applyProtection="1">
      <alignment horizontal="center"/>
    </xf>
    <xf numFmtId="164" fontId="13" fillId="4" borderId="3" xfId="0" applyNumberFormat="1" applyFont="1" applyFill="1" applyBorder="1" applyAlignment="1" applyProtection="1">
      <alignment horizontal="center"/>
    </xf>
    <xf numFmtId="164" fontId="13" fillId="4" borderId="4" xfId="0" applyNumberFormat="1" applyFont="1" applyFill="1" applyBorder="1" applyAlignment="1" applyProtection="1">
      <alignment horizontal="center"/>
    </xf>
    <xf numFmtId="0" fontId="11" fillId="0" borderId="3" xfId="0" applyFont="1" applyBorder="1" applyAlignment="1" applyProtection="1">
      <alignment horizontal="center" vertical="center"/>
    </xf>
    <xf numFmtId="0" fontId="11" fillId="0" borderId="0" xfId="0" applyFont="1" applyBorder="1" applyAlignment="1" applyProtection="1">
      <alignment horizontal="center" vertical="center"/>
    </xf>
    <xf numFmtId="164" fontId="14" fillId="0" borderId="1" xfId="1" applyNumberFormat="1" applyFont="1" applyFill="1" applyBorder="1" applyAlignment="1" applyProtection="1">
      <alignment horizontal="center"/>
      <protection locked="0"/>
    </xf>
    <xf numFmtId="0" fontId="19" fillId="6" borderId="0" xfId="0" applyFont="1" applyFill="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xf>
    <xf numFmtId="164" fontId="14" fillId="0" borderId="1" xfId="0" applyNumberFormat="1" applyFont="1" applyFill="1" applyBorder="1" applyAlignment="1" applyProtection="1">
      <alignment horizontal="center"/>
      <protection locked="0"/>
    </xf>
    <xf numFmtId="0" fontId="13" fillId="4" borderId="0" xfId="0" applyFont="1" applyFill="1" applyAlignment="1" applyProtection="1">
      <alignment horizontal="center" vertical="center" textRotation="90"/>
    </xf>
    <xf numFmtId="0" fontId="11" fillId="0" borderId="0" xfId="0" applyFont="1" applyAlignment="1" applyProtection="1">
      <alignment horizontal="right" vertical="center"/>
    </xf>
    <xf numFmtId="0" fontId="5" fillId="3" borderId="0" xfId="0" applyFont="1" applyFill="1" applyAlignment="1">
      <alignment horizontal="center"/>
    </xf>
    <xf numFmtId="43" fontId="4" fillId="3" borderId="0" xfId="2" applyFont="1" applyFill="1"/>
    <xf numFmtId="0" fontId="10" fillId="0" borderId="0" xfId="0" applyFont="1" applyBorder="1" applyAlignment="1" applyProtection="1">
      <alignment horizontal="right"/>
    </xf>
    <xf numFmtId="0" fontId="11" fillId="2" borderId="5" xfId="0" applyFont="1" applyFill="1" applyBorder="1" applyAlignment="1" applyProtection="1">
      <alignment horizontal="right" vertical="center" wrapText="1"/>
    </xf>
    <xf numFmtId="0" fontId="11" fillId="2" borderId="0" xfId="0" applyFont="1" applyFill="1" applyBorder="1" applyAlignment="1" applyProtection="1">
      <alignment horizontal="right" vertical="center" wrapText="1"/>
    </xf>
    <xf numFmtId="0" fontId="11" fillId="2" borderId="7" xfId="0" applyFont="1" applyFill="1" applyBorder="1" applyAlignment="1" applyProtection="1">
      <alignment horizontal="right" vertical="center" wrapText="1"/>
    </xf>
    <xf numFmtId="0" fontId="11" fillId="2" borderId="1" xfId="0" applyFont="1" applyFill="1" applyBorder="1" applyAlignment="1" applyProtection="1">
      <alignment horizontal="right" vertical="center" wrapText="1"/>
    </xf>
    <xf numFmtId="0" fontId="7" fillId="4" borderId="2" xfId="0" applyFont="1" applyFill="1" applyBorder="1" applyAlignment="1" applyProtection="1">
      <alignment horizontal="center" wrapText="1"/>
    </xf>
    <xf numFmtId="9" fontId="3" fillId="0" borderId="4" xfId="1" applyFont="1" applyFill="1" applyBorder="1" applyAlignment="1" applyProtection="1">
      <alignment horizontal="center" vertical="center"/>
      <protection locked="0"/>
    </xf>
    <xf numFmtId="0" fontId="7" fillId="4" borderId="7" xfId="0" applyFont="1" applyFill="1" applyBorder="1" applyAlignment="1" applyProtection="1">
      <alignment horizontal="center" wrapText="1"/>
    </xf>
    <xf numFmtId="9" fontId="3" fillId="0" borderId="8" xfId="1" applyFont="1" applyFill="1" applyBorder="1" applyAlignment="1" applyProtection="1">
      <alignment horizontal="center" vertical="center"/>
      <protection locked="0"/>
    </xf>
    <xf numFmtId="0" fontId="0" fillId="0" borderId="0" xfId="0" applyAlignment="1">
      <alignment horizontal="center"/>
    </xf>
    <xf numFmtId="0" fontId="22" fillId="0" borderId="0" xfId="0" applyFont="1" applyFill="1" applyAlignment="1" applyProtection="1">
      <alignment horizontal="right"/>
    </xf>
    <xf numFmtId="164" fontId="22" fillId="0" borderId="0" xfId="2" applyNumberFormat="1" applyFont="1" applyFill="1" applyAlignment="1" applyProtection="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latin typeface="Segoe UI" panose="020B0502040204020203" pitchFamily="34" charset="0"/>
                <a:cs typeface="Segoe UI" panose="020B0502040204020203" pitchFamily="34" charset="0"/>
              </a:rPr>
              <a:t>Revenue Composition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'Key Variables'!$G$54:$H$54</c:f>
              <c:strCache>
                <c:ptCount val="2"/>
                <c:pt idx="0">
                  <c:v>Recurring</c:v>
                </c:pt>
              </c:strCache>
            </c:strRef>
          </c:tx>
          <c:spPr>
            <a:solidFill>
              <a:schemeClr val="accent1"/>
            </a:solidFill>
            <a:ln>
              <a:noFill/>
            </a:ln>
            <a:effectLst/>
          </c:spPr>
          <c:invertIfNegative val="0"/>
          <c:cat>
            <c:numRef>
              <c:f>'Key Variables'!$I$53:$L$53</c:f>
              <c:numCache>
                <c:formatCode>General</c:formatCode>
                <c:ptCount val="4"/>
                <c:pt idx="0">
                  <c:v>1</c:v>
                </c:pt>
                <c:pt idx="1">
                  <c:v>2</c:v>
                </c:pt>
                <c:pt idx="2">
                  <c:v>3</c:v>
                </c:pt>
                <c:pt idx="3">
                  <c:v>4</c:v>
                </c:pt>
              </c:numCache>
            </c:numRef>
          </c:cat>
          <c:val>
            <c:numRef>
              <c:f>'Key Variables'!$I$54:$L$54</c:f>
              <c:numCache>
                <c:formatCode>"$"#,##0</c:formatCode>
                <c:ptCount val="4"/>
                <c:pt idx="0">
                  <c:v>68900</c:v>
                </c:pt>
                <c:pt idx="1">
                  <c:v>192655</c:v>
                </c:pt>
                <c:pt idx="2">
                  <c:v>313494.99999999994</c:v>
                </c:pt>
                <c:pt idx="3">
                  <c:v>434335</c:v>
                </c:pt>
              </c:numCache>
            </c:numRef>
          </c:val>
          <c:extLst>
            <c:ext xmlns:c16="http://schemas.microsoft.com/office/drawing/2014/chart" uri="{C3380CC4-5D6E-409C-BE32-E72D297353CC}">
              <c16:uniqueId val="{00000000-F234-46DD-959C-9C9D4315D6B8}"/>
            </c:ext>
          </c:extLst>
        </c:ser>
        <c:ser>
          <c:idx val="1"/>
          <c:order val="1"/>
          <c:tx>
            <c:strRef>
              <c:f>'Key Variables'!$G$55:$H$55</c:f>
              <c:strCache>
                <c:ptCount val="2"/>
                <c:pt idx="0">
                  <c:v>Non-Recurring</c:v>
                </c:pt>
              </c:strCache>
            </c:strRef>
          </c:tx>
          <c:spPr>
            <a:solidFill>
              <a:schemeClr val="accent2"/>
            </a:solidFill>
            <a:ln>
              <a:noFill/>
            </a:ln>
            <a:effectLst/>
          </c:spPr>
          <c:invertIfNegative val="0"/>
          <c:cat>
            <c:numRef>
              <c:f>'Key Variables'!$I$53:$L$53</c:f>
              <c:numCache>
                <c:formatCode>General</c:formatCode>
                <c:ptCount val="4"/>
                <c:pt idx="0">
                  <c:v>1</c:v>
                </c:pt>
                <c:pt idx="1">
                  <c:v>2</c:v>
                </c:pt>
                <c:pt idx="2">
                  <c:v>3</c:v>
                </c:pt>
                <c:pt idx="3">
                  <c:v>4</c:v>
                </c:pt>
              </c:numCache>
            </c:numRef>
          </c:cat>
          <c:val>
            <c:numRef>
              <c:f>'Key Variables'!$I$55:$L$55</c:f>
              <c:numCache>
                <c:formatCode>"$"#,##0_);[Red]\("$"#,##0\)</c:formatCode>
                <c:ptCount val="4"/>
                <c:pt idx="0">
                  <c:v>244375</c:v>
                </c:pt>
                <c:pt idx="1">
                  <c:v>271031.25</c:v>
                </c:pt>
                <c:pt idx="2">
                  <c:v>299687.5</c:v>
                </c:pt>
                <c:pt idx="3">
                  <c:v>328187.5</c:v>
                </c:pt>
              </c:numCache>
            </c:numRef>
          </c:val>
          <c:extLst>
            <c:ext xmlns:c16="http://schemas.microsoft.com/office/drawing/2014/chart" uri="{C3380CC4-5D6E-409C-BE32-E72D297353CC}">
              <c16:uniqueId val="{00000001-F234-46DD-959C-9C9D4315D6B8}"/>
            </c:ext>
          </c:extLst>
        </c:ser>
        <c:dLbls>
          <c:showLegendKey val="0"/>
          <c:showVal val="0"/>
          <c:showCatName val="0"/>
          <c:showSerName val="0"/>
          <c:showPercent val="0"/>
          <c:showBubbleSize val="0"/>
        </c:dLbls>
        <c:gapWidth val="150"/>
        <c:overlap val="100"/>
        <c:axId val="284492528"/>
        <c:axId val="284502320"/>
      </c:barChart>
      <c:catAx>
        <c:axId val="28449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284502320"/>
        <c:crosses val="autoZero"/>
        <c:auto val="1"/>
        <c:lblAlgn val="ctr"/>
        <c:lblOffset val="100"/>
        <c:noMultiLvlLbl val="0"/>
      </c:catAx>
      <c:valAx>
        <c:axId val="2845023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284492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baseline="0">
                <a:latin typeface="Segoe UI" panose="020B0502040204020203" pitchFamily="34" charset="0"/>
                <a:cs typeface="Segoe UI" panose="020B0502040204020203" pitchFamily="34" charset="0"/>
              </a:rPr>
              <a:t>Approximate Valuation Impact</a:t>
            </a:r>
            <a:endParaRPr lang="en-US">
              <a:latin typeface="Segoe UI" panose="020B0502040204020203" pitchFamily="34" charset="0"/>
              <a:cs typeface="Segoe UI" panose="020B0502040204020203"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clustered"/>
        <c:varyColors val="0"/>
        <c:ser>
          <c:idx val="1"/>
          <c:order val="1"/>
          <c:spPr>
            <a:solidFill>
              <a:srgbClr val="00B050"/>
            </a:solidFill>
            <a:ln>
              <a:noFill/>
            </a:ln>
            <a:effectLst/>
          </c:spPr>
          <c:invertIfNegative val="0"/>
          <c:val>
            <c:numRef>
              <c:f>'Key Variables'!$I$69:$L$69</c:f>
              <c:numCache>
                <c:formatCode>"$"#,##0_);[Red]\("$"#,##0\)</c:formatCode>
                <c:ptCount val="4"/>
                <c:pt idx="0">
                  <c:v>274580.375</c:v>
                </c:pt>
                <c:pt idx="1">
                  <c:v>551321.78125</c:v>
                </c:pt>
                <c:pt idx="2">
                  <c:v>822924.31249999977</c:v>
                </c:pt>
                <c:pt idx="3">
                  <c:v>1094444.8124999995</c:v>
                </c:pt>
              </c:numCache>
            </c:numRef>
          </c:val>
          <c:extLst>
            <c:ext xmlns:c16="http://schemas.microsoft.com/office/drawing/2014/chart" uri="{C3380CC4-5D6E-409C-BE32-E72D297353CC}">
              <c16:uniqueId val="{00000000-0F1A-45CB-BED6-BAF76A8334C2}"/>
            </c:ext>
          </c:extLst>
        </c:ser>
        <c:dLbls>
          <c:showLegendKey val="0"/>
          <c:showVal val="0"/>
          <c:showCatName val="0"/>
          <c:showSerName val="0"/>
          <c:showPercent val="0"/>
          <c:showBubbleSize val="0"/>
        </c:dLbls>
        <c:gapWidth val="150"/>
        <c:axId val="284494704"/>
        <c:axId val="284495248"/>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'Key Variables'!$I$66:$L$66</c15:sqref>
                        </c15:formulaRef>
                      </c:ext>
                    </c:extLst>
                    <c:numCache>
                      <c:formatCode>General</c:formatCode>
                      <c:ptCount val="4"/>
                      <c:pt idx="0">
                        <c:v>1</c:v>
                      </c:pt>
                      <c:pt idx="1">
                        <c:v>2</c:v>
                      </c:pt>
                      <c:pt idx="2">
                        <c:v>3</c:v>
                      </c:pt>
                      <c:pt idx="3">
                        <c:v>4</c:v>
                      </c:pt>
                    </c:numCache>
                  </c:numRef>
                </c:val>
                <c:extLst>
                  <c:ext xmlns:c16="http://schemas.microsoft.com/office/drawing/2014/chart" uri="{C3380CC4-5D6E-409C-BE32-E72D297353CC}">
                    <c16:uniqueId val="{00000001-0F1A-45CB-BED6-BAF76A8334C2}"/>
                  </c:ext>
                </c:extLst>
              </c15:ser>
            </c15:filteredBarSeries>
          </c:ext>
        </c:extLst>
      </c:barChart>
      <c:catAx>
        <c:axId val="2844947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latin typeface="Segoe UI" panose="020B0502040204020203" pitchFamily="34" charset="0"/>
                    <a:cs typeface="Segoe UI" panose="020B0502040204020203" pitchFamily="34" charset="0"/>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284495248"/>
        <c:crossesAt val="0"/>
        <c:auto val="1"/>
        <c:lblAlgn val="ctr"/>
        <c:lblOffset val="100"/>
        <c:noMultiLvlLbl val="0"/>
      </c:catAx>
      <c:valAx>
        <c:axId val="28449524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28449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b="1">
                <a:latin typeface="Segoe UI" panose="020B0502040204020203" pitchFamily="34" charset="0"/>
                <a:cs typeface="Segoe UI" panose="020B0502040204020203" pitchFamily="34" charset="0"/>
              </a:rPr>
              <a:t>Total Customers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bar"/>
        <c:grouping val="clustered"/>
        <c:varyColors val="0"/>
        <c:ser>
          <c:idx val="0"/>
          <c:order val="0"/>
          <c:tx>
            <c:strRef>
              <c:f>Customers!$B$50</c:f>
              <c:strCache>
                <c:ptCount val="1"/>
                <c:pt idx="0">
                  <c:v>IP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Customers!$C$49:$F$49</c:f>
              <c:numCache>
                <c:formatCode>General</c:formatCode>
                <c:ptCount val="4"/>
                <c:pt idx="0">
                  <c:v>1</c:v>
                </c:pt>
                <c:pt idx="1">
                  <c:v>2</c:v>
                </c:pt>
                <c:pt idx="2">
                  <c:v>3</c:v>
                </c:pt>
                <c:pt idx="3">
                  <c:v>4</c:v>
                </c:pt>
              </c:numCache>
            </c:numRef>
          </c:cat>
          <c:val>
            <c:numRef>
              <c:f>Customers!$C$50:$F$50</c:f>
              <c:numCache>
                <c:formatCode>#,##0</c:formatCode>
                <c:ptCount val="4"/>
                <c:pt idx="0">
                  <c:v>3.84</c:v>
                </c:pt>
                <c:pt idx="1">
                  <c:v>7.4879999999999969</c:v>
                </c:pt>
                <c:pt idx="2">
                  <c:v>11.135999999999999</c:v>
                </c:pt>
                <c:pt idx="3">
                  <c:v>14.78400000000001</c:v>
                </c:pt>
              </c:numCache>
            </c:numRef>
          </c:val>
          <c:extLst>
            <c:ext xmlns:c16="http://schemas.microsoft.com/office/drawing/2014/chart" uri="{C3380CC4-5D6E-409C-BE32-E72D297353CC}">
              <c16:uniqueId val="{00000000-0A41-4E71-AA32-96BC3D5512D0}"/>
            </c:ext>
          </c:extLst>
        </c:ser>
        <c:ser>
          <c:idx val="2"/>
          <c:order val="2"/>
          <c:tx>
            <c:strRef>
              <c:f>Customers!$B$51</c:f>
              <c:strCache>
                <c:ptCount val="1"/>
                <c:pt idx="0">
                  <c:v>Managed Services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Customers!$C$49:$F$49</c:f>
              <c:numCache>
                <c:formatCode>General</c:formatCode>
                <c:ptCount val="4"/>
                <c:pt idx="0">
                  <c:v>1</c:v>
                </c:pt>
                <c:pt idx="1">
                  <c:v>2</c:v>
                </c:pt>
                <c:pt idx="2">
                  <c:v>3</c:v>
                </c:pt>
                <c:pt idx="3">
                  <c:v>4</c:v>
                </c:pt>
              </c:numCache>
            </c:numRef>
          </c:cat>
          <c:val>
            <c:numRef>
              <c:f>Customers!$C$51:$F$51</c:f>
              <c:numCache>
                <c:formatCode>#,##0</c:formatCode>
                <c:ptCount val="4"/>
                <c:pt idx="0">
                  <c:v>3.6</c:v>
                </c:pt>
                <c:pt idx="1">
                  <c:v>7.0199999999999978</c:v>
                </c:pt>
                <c:pt idx="2">
                  <c:v>10.44</c:v>
                </c:pt>
                <c:pt idx="3">
                  <c:v>13.860000000000008</c:v>
                </c:pt>
              </c:numCache>
            </c:numRef>
          </c:val>
          <c:extLst>
            <c:ext xmlns:c16="http://schemas.microsoft.com/office/drawing/2014/chart" uri="{C3380CC4-5D6E-409C-BE32-E72D297353CC}">
              <c16:uniqueId val="{00000001-0A41-4E71-AA32-96BC3D5512D0}"/>
            </c:ext>
          </c:extLst>
        </c:ser>
        <c:ser>
          <c:idx val="3"/>
          <c:order val="3"/>
          <c:tx>
            <c:strRef>
              <c:f>Customers!$B$52</c:f>
              <c:strCache>
                <c:ptCount val="1"/>
                <c:pt idx="0">
                  <c:v>Azure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Customers!$C$49:$F$49</c:f>
              <c:numCache>
                <c:formatCode>General</c:formatCode>
                <c:ptCount val="4"/>
                <c:pt idx="0">
                  <c:v>1</c:v>
                </c:pt>
                <c:pt idx="1">
                  <c:v>2</c:v>
                </c:pt>
                <c:pt idx="2">
                  <c:v>3</c:v>
                </c:pt>
                <c:pt idx="3">
                  <c:v>4</c:v>
                </c:pt>
              </c:numCache>
            </c:numRef>
          </c:cat>
          <c:val>
            <c:numRef>
              <c:f>Customers!$C$52:$F$52</c:f>
              <c:numCache>
                <c:formatCode>#,##0</c:formatCode>
                <c:ptCount val="4"/>
                <c:pt idx="0">
                  <c:v>12</c:v>
                </c:pt>
                <c:pt idx="1">
                  <c:v>23.399999999999991</c:v>
                </c:pt>
                <c:pt idx="2">
                  <c:v>34.799999999999997</c:v>
                </c:pt>
                <c:pt idx="3">
                  <c:v>46.200000000000031</c:v>
                </c:pt>
              </c:numCache>
            </c:numRef>
          </c:val>
          <c:extLst>
            <c:ext xmlns:c16="http://schemas.microsoft.com/office/drawing/2014/chart" uri="{C3380CC4-5D6E-409C-BE32-E72D297353CC}">
              <c16:uniqueId val="{00000002-0A41-4E71-AA32-96BC3D5512D0}"/>
            </c:ext>
          </c:extLst>
        </c:ser>
        <c:dLbls>
          <c:showLegendKey val="0"/>
          <c:showVal val="0"/>
          <c:showCatName val="0"/>
          <c:showSerName val="0"/>
          <c:showPercent val="0"/>
          <c:showBubbleSize val="0"/>
        </c:dLbls>
        <c:gapWidth val="150"/>
        <c:axId val="284499056"/>
        <c:axId val="284499600"/>
        <c:extLst>
          <c:ext xmlns:c15="http://schemas.microsoft.com/office/drawing/2012/chart" uri="{02D57815-91ED-43cb-92C2-25804820EDAC}">
            <c15:filteredBarSeries>
              <c15:ser>
                <c:idx val="1"/>
                <c:order val="1"/>
                <c:tx>
                  <c:strRef>
                    <c:extLst>
                      <c:ext uri="{02D57815-91ED-43cb-92C2-25804820EDAC}">
                        <c15:formulaRef>
                          <c15:sqref>Customers!#REF!</c15:sqref>
                        </c15:formulaRef>
                      </c:ext>
                    </c:extLst>
                    <c:strCache>
                      <c:ptCount val="1"/>
                      <c:pt idx="0">
                        <c:v>#REF!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Customers!$C$49:$F$49</c15:sqref>
                        </c15:formulaRef>
                      </c:ext>
                    </c:extLst>
                    <c:numCache>
                      <c:formatCode>General</c:formatCode>
                      <c:ptCount val="4"/>
                      <c:pt idx="0">
                        <c:v>1</c:v>
                      </c:pt>
                      <c:pt idx="1">
                        <c:v>2</c:v>
                      </c:pt>
                      <c:pt idx="2">
                        <c:v>3</c:v>
                      </c:pt>
                      <c:pt idx="3">
                        <c:v>4</c:v>
                      </c:pt>
                    </c:numCache>
                  </c:numRef>
                </c:cat>
                <c:val>
                  <c:numRef>
                    <c:extLst>
                      <c:ext uri="{02D57815-91ED-43cb-92C2-25804820EDAC}">
                        <c15:formulaRef>
                          <c15:sqref>Customers!#REF!</c15:sqref>
                        </c15:formulaRef>
                      </c:ext>
                    </c:extLst>
                    <c:numCache>
                      <c:formatCode>General</c:formatCode>
                      <c:ptCount val="1"/>
                      <c:pt idx="0">
                        <c:v>1</c:v>
                      </c:pt>
                    </c:numCache>
                  </c:numRef>
                </c:val>
                <c:extLst>
                  <c:ext xmlns:c16="http://schemas.microsoft.com/office/drawing/2014/chart" uri="{C3380CC4-5D6E-409C-BE32-E72D297353CC}">
                    <c16:uniqueId val="{00000003-0A41-4E71-AA32-96BC3D5512D0}"/>
                  </c:ext>
                </c:extLst>
              </c15:ser>
            </c15:filteredBarSeries>
          </c:ext>
        </c:extLst>
      </c:barChart>
      <c:catAx>
        <c:axId val="284499056"/>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sz="1400" b="1">
                    <a:latin typeface="Segoe UI" panose="020B0502040204020203" pitchFamily="34" charset="0"/>
                    <a:cs typeface="Segoe UI" panose="020B0502040204020203" pitchFamily="34" charset="0"/>
                  </a:rPr>
                  <a:t>Year</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84499600"/>
        <c:crosses val="autoZero"/>
        <c:auto val="1"/>
        <c:lblAlgn val="ctr"/>
        <c:lblOffset val="100"/>
        <c:noMultiLvlLbl val="0"/>
      </c:catAx>
      <c:valAx>
        <c:axId val="284499600"/>
        <c:scaling>
          <c:orientation val="minMax"/>
        </c:scaling>
        <c:delete val="1"/>
        <c:axPos val="b"/>
        <c:numFmt formatCode="#,##0" sourceLinked="1"/>
        <c:majorTickMark val="none"/>
        <c:minorTickMark val="none"/>
        <c:tickLblPos val="nextTo"/>
        <c:crossAx val="284499056"/>
        <c:crosses val="autoZero"/>
        <c:crossBetween val="between"/>
      </c:valAx>
      <c:spPr>
        <a:noFill/>
        <a:ln>
          <a:noFill/>
        </a:ln>
        <a:effectLst/>
      </c:spPr>
    </c:plotArea>
    <c:legend>
      <c:legendPos val="b"/>
      <c:layout>
        <c:manualLayout>
          <c:xMode val="edge"/>
          <c:yMode val="edge"/>
          <c:x val="0.77136161531429459"/>
          <c:y val="0.93982334172597715"/>
          <c:w val="0.21715161062782445"/>
          <c:h val="4.1725821436832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6">
                    <a:lumMod val="50000"/>
                  </a:schemeClr>
                </a:solidFill>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Cumulative Cash Flow</a:t>
            </a:r>
          </a:p>
        </c:rich>
      </c:tx>
      <c:layout>
        <c:manualLayout>
          <c:xMode val="edge"/>
          <c:yMode val="edge"/>
          <c:x val="0.31608218191715315"/>
          <c:y val="0.21824402532141721"/>
        </c:manualLayout>
      </c:layout>
      <c:overlay val="0"/>
    </c:title>
    <c:autoTitleDeleted val="0"/>
    <c:plotArea>
      <c:layout>
        <c:manualLayout>
          <c:layoutTarget val="inner"/>
          <c:xMode val="edge"/>
          <c:yMode val="edge"/>
          <c:x val="6.1898466325320235E-2"/>
          <c:y val="2.5304888171029903E-2"/>
          <c:w val="0.93619047051366877"/>
          <c:h val="0.8552995333414648"/>
        </c:manualLayout>
      </c:layout>
      <c:barChart>
        <c:barDir val="col"/>
        <c:grouping val="clustered"/>
        <c:varyColors val="0"/>
        <c:ser>
          <c:idx val="1"/>
          <c:order val="0"/>
          <c:tx>
            <c:strRef>
              <c:f>'Cash Flow'!$B$45</c:f>
              <c:strCache>
                <c:ptCount val="1"/>
                <c:pt idx="0">
                  <c:v>Monthly Cumulative Cash Flow</c:v>
                </c:pt>
              </c:strCache>
            </c:strRef>
          </c:tx>
          <c:spPr>
            <a:ln w="25400">
              <a:noFill/>
            </a:ln>
          </c:spPr>
          <c:invertIfNegative val="0"/>
          <c:val>
            <c:numRef>
              <c:f>'Cash Flow'!$C$45:$AX$45</c:f>
              <c:numCache>
                <c:formatCode>"$"#,##0</c:formatCode>
                <c:ptCount val="48"/>
                <c:pt idx="0">
                  <c:v>-3425.3125</c:v>
                </c:pt>
                <c:pt idx="1">
                  <c:v>-6582.7083333333358</c:v>
                </c:pt>
                <c:pt idx="2">
                  <c:v>-9472.1875000000036</c:v>
                </c:pt>
                <c:pt idx="3">
                  <c:v>-12093.750000000004</c:v>
                </c:pt>
                <c:pt idx="4">
                  <c:v>-14447.395833333339</c:v>
                </c:pt>
                <c:pt idx="5">
                  <c:v>-16533.125000000007</c:v>
                </c:pt>
                <c:pt idx="6">
                  <c:v>-18278.020833333343</c:v>
                </c:pt>
                <c:pt idx="7">
                  <c:v>-19682.083333333343</c:v>
                </c:pt>
                <c:pt idx="8">
                  <c:v>-20745.312500000011</c:v>
                </c:pt>
                <c:pt idx="9">
                  <c:v>-21467.708333333347</c:v>
                </c:pt>
                <c:pt idx="10">
                  <c:v>-21849.270833333347</c:v>
                </c:pt>
                <c:pt idx="11">
                  <c:v>-21890.000000000015</c:v>
                </c:pt>
                <c:pt idx="12">
                  <c:v>-22804.83333333335</c:v>
                </c:pt>
                <c:pt idx="13">
                  <c:v>-23392.229166666686</c:v>
                </c:pt>
                <c:pt idx="14">
                  <c:v>-23652.187500000022</c:v>
                </c:pt>
                <c:pt idx="15">
                  <c:v>-23584.708333333358</c:v>
                </c:pt>
                <c:pt idx="16">
                  <c:v>-23189.791666666693</c:v>
                </c:pt>
                <c:pt idx="17">
                  <c:v>-22467.437500000022</c:v>
                </c:pt>
                <c:pt idx="18">
                  <c:v>-21421.291666666686</c:v>
                </c:pt>
                <c:pt idx="19">
                  <c:v>-20051.354166666679</c:v>
                </c:pt>
                <c:pt idx="20">
                  <c:v>-18357.625000000015</c:v>
                </c:pt>
                <c:pt idx="21">
                  <c:v>-16340.104166666686</c:v>
                </c:pt>
                <c:pt idx="22">
                  <c:v>-13998.791666666686</c:v>
                </c:pt>
                <c:pt idx="23">
                  <c:v>-11333.687500000022</c:v>
                </c:pt>
                <c:pt idx="24">
                  <c:v>-8281.4687500000218</c:v>
                </c:pt>
                <c:pt idx="25">
                  <c:v>-4905.4583333333503</c:v>
                </c:pt>
                <c:pt idx="26">
                  <c:v>-1205.6562500000146</c:v>
                </c:pt>
                <c:pt idx="27">
                  <c:v>2817.9374999999854</c:v>
                </c:pt>
                <c:pt idx="28">
                  <c:v>7165.3229166666497</c:v>
                </c:pt>
                <c:pt idx="29">
                  <c:v>11836.499999999985</c:v>
                </c:pt>
                <c:pt idx="30">
                  <c:v>16831.468749999985</c:v>
                </c:pt>
                <c:pt idx="31">
                  <c:v>22150.229166666642</c:v>
                </c:pt>
                <c:pt idx="32">
                  <c:v>27792.781249999978</c:v>
                </c:pt>
                <c:pt idx="33">
                  <c:v>33759.124999999985</c:v>
                </c:pt>
                <c:pt idx="34">
                  <c:v>40049.26041666665</c:v>
                </c:pt>
                <c:pt idx="35">
                  <c:v>46663.187499999985</c:v>
                </c:pt>
                <c:pt idx="36">
                  <c:v>51734.156249999978</c:v>
                </c:pt>
                <c:pt idx="37">
                  <c:v>57128.91666666665</c:v>
                </c:pt>
                <c:pt idx="38">
                  <c:v>62847.468749999985</c:v>
                </c:pt>
                <c:pt idx="39">
                  <c:v>68889.8125</c:v>
                </c:pt>
                <c:pt idx="40">
                  <c:v>75255.947916666657</c:v>
                </c:pt>
                <c:pt idx="41">
                  <c:v>81945.875</c:v>
                </c:pt>
                <c:pt idx="42">
                  <c:v>88959.59375</c:v>
                </c:pt>
                <c:pt idx="43">
                  <c:v>96297.104166666657</c:v>
                </c:pt>
                <c:pt idx="44">
                  <c:v>103958.40625</c:v>
                </c:pt>
                <c:pt idx="45">
                  <c:v>111943.5</c:v>
                </c:pt>
                <c:pt idx="46">
                  <c:v>120252.38541666666</c:v>
                </c:pt>
                <c:pt idx="47">
                  <c:v>128885.0625</c:v>
                </c:pt>
              </c:numCache>
            </c:numRef>
          </c:val>
          <c:extLst>
            <c:ext xmlns:c16="http://schemas.microsoft.com/office/drawing/2014/chart" uri="{C3380CC4-5D6E-409C-BE32-E72D297353CC}">
              <c16:uniqueId val="{00000000-EC3F-41B3-A14B-91C55DBCBEB4}"/>
            </c:ext>
          </c:extLst>
        </c:ser>
        <c:dLbls>
          <c:showLegendKey val="0"/>
          <c:showVal val="0"/>
          <c:showCatName val="0"/>
          <c:showSerName val="0"/>
          <c:showPercent val="0"/>
          <c:showBubbleSize val="0"/>
        </c:dLbls>
        <c:gapWidth val="150"/>
        <c:axId val="410265680"/>
        <c:axId val="410259696"/>
      </c:barChart>
      <c:catAx>
        <c:axId val="410265680"/>
        <c:scaling>
          <c:orientation val="minMax"/>
        </c:scaling>
        <c:delete val="0"/>
        <c:axPos val="b"/>
        <c:title>
          <c:tx>
            <c:rich>
              <a:bodyPr/>
              <a:lstStyle/>
              <a:p>
                <a:pPr>
                  <a:defRPr>
                    <a:latin typeface="Segoe UI" panose="020B0502040204020203" pitchFamily="34" charset="0"/>
                    <a:cs typeface="Segoe UI" panose="020B0502040204020203" pitchFamily="34" charset="0"/>
                  </a:defRPr>
                </a:pPr>
                <a:r>
                  <a:rPr lang="en-US">
                    <a:latin typeface="Segoe UI" panose="020B0502040204020203" pitchFamily="34" charset="0"/>
                    <a:cs typeface="Segoe UI" panose="020B0502040204020203" pitchFamily="34" charset="0"/>
                  </a:rPr>
                  <a:t>Month</a:t>
                </a:r>
              </a:p>
            </c:rich>
          </c:tx>
          <c:layout>
            <c:manualLayout>
              <c:xMode val="edge"/>
              <c:yMode val="edge"/>
              <c:x val="0.47068318958237715"/>
              <c:y val="0.93762460415339643"/>
            </c:manualLayout>
          </c:layout>
          <c:overlay val="0"/>
        </c:title>
        <c:majorTickMark val="out"/>
        <c:minorTickMark val="none"/>
        <c:tickLblPos val="nextTo"/>
        <c:txPr>
          <a:bodyPr/>
          <a:lstStyle/>
          <a:p>
            <a:pPr>
              <a:defRPr>
                <a:latin typeface="Segoe UI" panose="020B0502040204020203" pitchFamily="34" charset="0"/>
                <a:cs typeface="Segoe UI" panose="020B0502040204020203" pitchFamily="34" charset="0"/>
              </a:defRPr>
            </a:pPr>
            <a:endParaRPr lang="en-US"/>
          </a:p>
        </c:txPr>
        <c:crossAx val="410259696"/>
        <c:crosses val="autoZero"/>
        <c:auto val="1"/>
        <c:lblAlgn val="ctr"/>
        <c:lblOffset val="100"/>
        <c:noMultiLvlLbl val="0"/>
      </c:catAx>
      <c:valAx>
        <c:axId val="410259696"/>
        <c:scaling>
          <c:orientation val="minMax"/>
        </c:scaling>
        <c:delete val="0"/>
        <c:axPos val="l"/>
        <c:numFmt formatCode="&quot;$&quot;#,##0" sourceLinked="0"/>
        <c:majorTickMark val="out"/>
        <c:minorTickMark val="none"/>
        <c:tickLblPos val="nextTo"/>
        <c:txPr>
          <a:bodyPr/>
          <a:lstStyle/>
          <a:p>
            <a:pPr>
              <a:defRPr>
                <a:latin typeface="Segoe UI" panose="020B0502040204020203" pitchFamily="34" charset="0"/>
                <a:cs typeface="Segoe UI" panose="020B0502040204020203" pitchFamily="34" charset="0"/>
              </a:defRPr>
            </a:pPr>
            <a:endParaRPr lang="en-US"/>
          </a:p>
        </c:txPr>
        <c:crossAx val="410265680"/>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16" fmlaLink="$E$49" horiz="1" max="100" page="10" val="32"/>
</file>

<file path=xl/ctrlProps/ctrlProp2.xml><?xml version="1.0" encoding="utf-8"?>
<formControlPr xmlns="http://schemas.microsoft.com/office/spreadsheetml/2009/9/main" objectType="Scroll" dx="16" fmlaLink="$E$50" horiz="1" max="100" page="10" val="30"/>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13</xdr:row>
          <xdr:rowOff>9525</xdr:rowOff>
        </xdr:from>
        <xdr:to>
          <xdr:col>7</xdr:col>
          <xdr:colOff>11906</xdr:colOff>
          <xdr:row>14</xdr:row>
          <xdr:rowOff>83344</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xdr:from>
      <xdr:col>11</xdr:col>
      <xdr:colOff>150811</xdr:colOff>
      <xdr:row>1</xdr:row>
      <xdr:rowOff>33339</xdr:rowOff>
    </xdr:from>
    <xdr:to>
      <xdr:col>15</xdr:col>
      <xdr:colOff>416719</xdr:colOff>
      <xdr:row>18</xdr:row>
      <xdr:rowOff>166687</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15</xdr:col>
      <xdr:colOff>506016</xdr:colOff>
      <xdr:row>1</xdr:row>
      <xdr:rowOff>35321</xdr:rowOff>
    </xdr:from>
    <xdr:to>
      <xdr:col>18</xdr:col>
      <xdr:colOff>351233</xdr:colOff>
      <xdr:row>18</xdr:row>
      <xdr:rowOff>172641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0</xdr:colOff>
          <xdr:row>16</xdr:row>
          <xdr:rowOff>9525</xdr:rowOff>
        </xdr:from>
        <xdr:to>
          <xdr:col>7</xdr:col>
          <xdr:colOff>0</xdr:colOff>
          <xdr:row>17</xdr:row>
          <xdr:rowOff>76199</xdr:rowOff>
        </xdr:to>
        <xdr:sp macro="" textlink="">
          <xdr:nvSpPr>
            <xdr:cNvPr id="1051" name="Scroll Bar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twoCellAnchor editAs="oneCell">
    <xdr:from>
      <xdr:col>8</xdr:col>
      <xdr:colOff>315515</xdr:colOff>
      <xdr:row>19</xdr:row>
      <xdr:rowOff>202407</xdr:rowOff>
    </xdr:from>
    <xdr:to>
      <xdr:col>10</xdr:col>
      <xdr:colOff>442346</xdr:colOff>
      <xdr:row>27</xdr:row>
      <xdr:rowOff>207699</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0" y="4250532"/>
          <a:ext cx="1996112" cy="1767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47626</xdr:colOff>
      <xdr:row>11</xdr:row>
      <xdr:rowOff>0</xdr:rowOff>
    </xdr:from>
    <xdr:to>
      <xdr:col>15</xdr:col>
      <xdr:colOff>1257925</xdr:colOff>
      <xdr:row>19</xdr:row>
      <xdr:rowOff>195792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35126" y="2482454"/>
          <a:ext cx="1996112" cy="17674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595313</xdr:colOff>
      <xdr:row>2</xdr:row>
      <xdr:rowOff>88899</xdr:rowOff>
    </xdr:from>
    <xdr:to>
      <xdr:col>22</xdr:col>
      <xdr:colOff>190501</xdr:colOff>
      <xdr:row>37</xdr:row>
      <xdr:rowOff>47625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595312</xdr:colOff>
      <xdr:row>32</xdr:row>
      <xdr:rowOff>23813</xdr:rowOff>
    </xdr:from>
    <xdr:to>
      <xdr:col>11</xdr:col>
      <xdr:colOff>626892</xdr:colOff>
      <xdr:row>42</xdr:row>
      <xdr:rowOff>5292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22343" y="5738813"/>
          <a:ext cx="1996112" cy="1767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35210</xdr:colOff>
      <xdr:row>2</xdr:row>
      <xdr:rowOff>99954</xdr:rowOff>
    </xdr:from>
    <xdr:to>
      <xdr:col>24</xdr:col>
      <xdr:colOff>470978</xdr:colOff>
      <xdr:row>31</xdr:row>
      <xdr:rowOff>136694</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613171</xdr:colOff>
      <xdr:row>27</xdr:row>
      <xdr:rowOff>196453</xdr:rowOff>
    </xdr:from>
    <xdr:to>
      <xdr:col>18</xdr:col>
      <xdr:colOff>626893</xdr:colOff>
      <xdr:row>36</xdr:row>
      <xdr:rowOff>58870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51469" y="5822157"/>
          <a:ext cx="1996112" cy="17674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showGridLines="0" workbookViewId="0">
      <pane ySplit="1" topLeftCell="A2" activePane="bottomLeft" state="frozen"/>
      <selection pane="bottomLeft" activeCell="D3" sqref="D3"/>
    </sheetView>
  </sheetViews>
  <sheetFormatPr defaultRowHeight="42" customHeight="1" x14ac:dyDescent="0.45"/>
  <cols>
    <col min="2" max="4" width="55.73046875" customWidth="1"/>
  </cols>
  <sheetData>
    <row r="1" spans="2:4" ht="16.5" x14ac:dyDescent="0.45">
      <c r="B1" s="134" t="s">
        <v>114</v>
      </c>
      <c r="C1" s="135" t="s">
        <v>115</v>
      </c>
      <c r="D1" s="135" t="s">
        <v>116</v>
      </c>
    </row>
    <row r="2" spans="2:4" ht="61.5" x14ac:dyDescent="0.45">
      <c r="B2" s="137" t="s">
        <v>97</v>
      </c>
      <c r="C2" s="136" t="s">
        <v>117</v>
      </c>
      <c r="D2" s="136" t="s">
        <v>118</v>
      </c>
    </row>
    <row r="3" spans="2:4" ht="76.900000000000006" x14ac:dyDescent="0.45">
      <c r="B3" s="137" t="s">
        <v>98</v>
      </c>
      <c r="C3" s="136" t="s">
        <v>119</v>
      </c>
      <c r="D3" s="136" t="s">
        <v>120</v>
      </c>
    </row>
    <row r="4" spans="2:4" ht="46.15" x14ac:dyDescent="0.45">
      <c r="B4" s="137" t="s">
        <v>88</v>
      </c>
      <c r="C4" s="136" t="s">
        <v>121</v>
      </c>
      <c r="D4" s="136" t="s">
        <v>122</v>
      </c>
    </row>
    <row r="5" spans="2:4" ht="46.15" x14ac:dyDescent="0.45">
      <c r="B5" s="137" t="s">
        <v>57</v>
      </c>
      <c r="C5" s="136" t="s">
        <v>123</v>
      </c>
      <c r="D5" s="136" t="s">
        <v>124</v>
      </c>
    </row>
    <row r="6" spans="2:4" ht="61.5" x14ac:dyDescent="0.45">
      <c r="B6" s="137" t="s">
        <v>93</v>
      </c>
      <c r="C6" s="136" t="s">
        <v>125</v>
      </c>
      <c r="D6" s="136" t="s">
        <v>126</v>
      </c>
    </row>
    <row r="7" spans="2:4" ht="15.4" x14ac:dyDescent="0.45">
      <c r="B7" s="137" t="s">
        <v>127</v>
      </c>
      <c r="C7" s="136" t="s">
        <v>128</v>
      </c>
      <c r="D7" s="136" t="s">
        <v>129</v>
      </c>
    </row>
    <row r="8" spans="2:4" ht="46.15" x14ac:dyDescent="0.45">
      <c r="B8" s="137" t="s">
        <v>134</v>
      </c>
      <c r="C8" s="136" t="s">
        <v>135</v>
      </c>
      <c r="D8" s="136" t="s">
        <v>136</v>
      </c>
    </row>
    <row r="9" spans="2:4" ht="46.15" x14ac:dyDescent="0.45">
      <c r="B9" s="137" t="s">
        <v>94</v>
      </c>
      <c r="C9" s="136" t="s">
        <v>130</v>
      </c>
      <c r="D9" s="136" t="s">
        <v>131</v>
      </c>
    </row>
    <row r="10" spans="2:4" ht="61.5" x14ac:dyDescent="0.45">
      <c r="B10" s="137" t="s">
        <v>80</v>
      </c>
      <c r="C10" s="136" t="s">
        <v>132</v>
      </c>
      <c r="D10" s="136" t="s">
        <v>133</v>
      </c>
    </row>
    <row r="11" spans="2:4" ht="46.15" x14ac:dyDescent="0.45">
      <c r="B11" s="136" t="s">
        <v>137</v>
      </c>
      <c r="C11" s="136" t="s">
        <v>138</v>
      </c>
      <c r="D11" s="136" t="s">
        <v>139</v>
      </c>
    </row>
    <row r="12" spans="2:4" ht="61.5" x14ac:dyDescent="0.45">
      <c r="B12" s="136" t="s">
        <v>140</v>
      </c>
      <c r="C12" s="136" t="s">
        <v>141</v>
      </c>
      <c r="D12" s="136" t="s">
        <v>142</v>
      </c>
    </row>
    <row r="13" spans="2:4" ht="76.900000000000006" x14ac:dyDescent="0.45">
      <c r="B13" s="136" t="s">
        <v>91</v>
      </c>
      <c r="C13" s="136" t="s">
        <v>143</v>
      </c>
      <c r="D13" s="136" t="s">
        <v>144</v>
      </c>
    </row>
    <row r="14" spans="2:4" ht="46.15" x14ac:dyDescent="0.45">
      <c r="B14" s="136" t="s">
        <v>64</v>
      </c>
      <c r="C14" s="136" t="s">
        <v>147</v>
      </c>
      <c r="D14" s="136" t="s">
        <v>148</v>
      </c>
    </row>
    <row r="15" spans="2:4" ht="61.5" x14ac:dyDescent="0.45">
      <c r="B15" s="136" t="s">
        <v>50</v>
      </c>
      <c r="C15" s="136" t="s">
        <v>145</v>
      </c>
      <c r="D15" s="136" t="s">
        <v>146</v>
      </c>
    </row>
    <row r="16" spans="2:4" ht="76.900000000000006" x14ac:dyDescent="0.45">
      <c r="B16" s="136" t="s">
        <v>149</v>
      </c>
      <c r="C16" s="136" t="s">
        <v>150</v>
      </c>
      <c r="D16" s="136" t="s">
        <v>151</v>
      </c>
    </row>
    <row r="17" spans="2:4" ht="76.900000000000006" x14ac:dyDescent="0.45">
      <c r="B17" s="136" t="s">
        <v>152</v>
      </c>
      <c r="C17" s="136" t="s">
        <v>153</v>
      </c>
      <c r="D17" s="136" t="s">
        <v>154</v>
      </c>
    </row>
  </sheetData>
  <sheetProtection algorithmName="SHA-512" hashValue="c4mOt1REMXEchsSMckrwP67vOjQSwrFutcW27ZOg8k6/I8XZQsXy6Kl9tmH0rekPyEzf7bgRoNpLMIO8GZWTvw==" saltValue="ypBNqxVdb/3xJ1S2wVBnn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T70"/>
  <sheetViews>
    <sheetView showGridLines="0" tabSelected="1" zoomScale="80" zoomScaleNormal="80" workbookViewId="0">
      <selection activeCell="F28" sqref="F28"/>
    </sheetView>
  </sheetViews>
  <sheetFormatPr defaultColWidth="9.1328125" defaultRowHeight="15.4" x14ac:dyDescent="0.55000000000000004"/>
  <cols>
    <col min="1" max="1" width="1.3984375" style="27" customWidth="1"/>
    <col min="2" max="2" width="31.73046875" style="27" customWidth="1"/>
    <col min="3" max="3" width="14.1328125" style="27" customWidth="1"/>
    <col min="4" max="4" width="3" style="27" customWidth="1"/>
    <col min="5" max="5" width="11.3984375" style="27" customWidth="1"/>
    <col min="6" max="6" width="21.3984375" style="27" customWidth="1"/>
    <col min="7" max="7" width="15.73046875" style="27" customWidth="1"/>
    <col min="8" max="8" width="6" style="27" customWidth="1"/>
    <col min="9" max="9" width="10.3984375" style="27" customWidth="1"/>
    <col min="10" max="11" width="15.73046875" style="27" customWidth="1"/>
    <col min="12" max="12" width="2.86328125" style="28" customWidth="1"/>
    <col min="13" max="13" width="10.1328125" style="27" customWidth="1"/>
    <col min="14" max="14" width="12.1328125" style="27" customWidth="1"/>
    <col min="15" max="18" width="14.73046875" style="27" customWidth="1"/>
    <col min="19" max="20" width="12.1328125" style="27" customWidth="1"/>
    <col min="21" max="16384" width="9.1328125" style="27"/>
  </cols>
  <sheetData>
    <row r="1" spans="2:12" ht="26.65" customHeight="1" x14ac:dyDescent="0.55000000000000004"/>
    <row r="2" spans="2:12" ht="17.25" customHeight="1" x14ac:dyDescent="0.55000000000000004">
      <c r="B2" s="164" t="s">
        <v>113</v>
      </c>
      <c r="C2" s="164"/>
      <c r="D2" s="113"/>
      <c r="E2" s="149" t="s">
        <v>103</v>
      </c>
      <c r="F2" s="165"/>
      <c r="G2" s="121" t="s">
        <v>15</v>
      </c>
      <c r="H2" s="161" t="s">
        <v>7</v>
      </c>
      <c r="I2" s="161"/>
      <c r="J2" s="121" t="s">
        <v>8</v>
      </c>
      <c r="K2" s="119" t="s">
        <v>9</v>
      </c>
      <c r="L2" s="29"/>
    </row>
    <row r="3" spans="2:12" ht="17.25" customHeight="1" x14ac:dyDescent="0.55000000000000004">
      <c r="B3" s="164"/>
      <c r="C3" s="164"/>
      <c r="D3" s="113"/>
      <c r="E3" s="149"/>
      <c r="F3" s="165"/>
      <c r="G3" s="127">
        <v>12</v>
      </c>
      <c r="H3" s="166">
        <v>12</v>
      </c>
      <c r="I3" s="166"/>
      <c r="J3" s="127">
        <v>12</v>
      </c>
      <c r="K3" s="45">
        <v>12</v>
      </c>
      <c r="L3" s="34"/>
    </row>
    <row r="4" spans="2:12" ht="17.25" customHeight="1" x14ac:dyDescent="0.55000000000000004">
      <c r="B4" s="164"/>
      <c r="C4" s="164"/>
      <c r="D4" s="113"/>
      <c r="L4" s="34"/>
    </row>
    <row r="5" spans="2:12" ht="17.25" customHeight="1" x14ac:dyDescent="0.55000000000000004">
      <c r="B5" s="112"/>
      <c r="C5" s="112"/>
      <c r="D5" s="112"/>
      <c r="E5" s="149" t="s">
        <v>106</v>
      </c>
      <c r="F5" s="149"/>
      <c r="G5" s="161" t="s">
        <v>15</v>
      </c>
      <c r="H5" s="161" t="s">
        <v>7</v>
      </c>
      <c r="I5" s="161"/>
      <c r="J5" s="161" t="s">
        <v>8</v>
      </c>
      <c r="K5" s="150" t="s">
        <v>9</v>
      </c>
      <c r="L5" s="34"/>
    </row>
    <row r="6" spans="2:12" ht="17.25" customHeight="1" x14ac:dyDescent="0.55000000000000004">
      <c r="B6" s="167" t="s">
        <v>101</v>
      </c>
      <c r="C6" s="167"/>
      <c r="D6" s="112"/>
      <c r="E6" s="149"/>
      <c r="F6" s="149"/>
      <c r="G6" s="162"/>
      <c r="H6" s="162"/>
      <c r="I6" s="162"/>
      <c r="J6" s="162"/>
      <c r="K6" s="151"/>
      <c r="L6" s="34"/>
    </row>
    <row r="7" spans="2:12" ht="17.25" customHeight="1" x14ac:dyDescent="0.55000000000000004">
      <c r="B7" s="148"/>
      <c r="C7" s="148"/>
      <c r="D7" s="112"/>
      <c r="E7" s="149"/>
      <c r="F7" s="149"/>
      <c r="G7" s="124">
        <f>O23*0.25</f>
        <v>78318.75</v>
      </c>
      <c r="H7" s="168">
        <f>P23*0.2</f>
        <v>92737.25</v>
      </c>
      <c r="I7" s="168"/>
      <c r="J7" s="140">
        <f>Q23*0.15</f>
        <v>91977.375</v>
      </c>
      <c r="K7" s="140">
        <f>R23*0.15</f>
        <v>114378.375</v>
      </c>
      <c r="L7" s="34"/>
    </row>
    <row r="8" spans="2:12" ht="17.25" customHeight="1" x14ac:dyDescent="0.55000000000000004">
      <c r="B8" s="30" t="s">
        <v>97</v>
      </c>
      <c r="C8" s="31">
        <v>20000</v>
      </c>
      <c r="D8" s="112"/>
      <c r="F8" s="48"/>
      <c r="G8" s="49"/>
      <c r="H8" s="49"/>
      <c r="I8" s="49"/>
      <c r="J8" s="49"/>
      <c r="K8" s="49"/>
      <c r="L8" s="34"/>
    </row>
    <row r="9" spans="2:12" ht="17.25" customHeight="1" x14ac:dyDescent="0.55000000000000004">
      <c r="B9" s="30" t="s">
        <v>98</v>
      </c>
      <c r="C9" s="31">
        <v>2500</v>
      </c>
      <c r="D9" s="112"/>
      <c r="E9" s="149" t="s">
        <v>107</v>
      </c>
      <c r="F9" s="149"/>
      <c r="G9" s="161" t="s">
        <v>15</v>
      </c>
      <c r="H9" s="161" t="s">
        <v>7</v>
      </c>
      <c r="I9" s="161"/>
      <c r="J9" s="161" t="s">
        <v>8</v>
      </c>
      <c r="K9" s="150" t="s">
        <v>9</v>
      </c>
      <c r="L9" s="34"/>
    </row>
    <row r="10" spans="2:12" ht="17.25" customHeight="1" x14ac:dyDescent="0.55000000000000004">
      <c r="B10" s="30" t="s">
        <v>88</v>
      </c>
      <c r="C10" s="35">
        <v>7500</v>
      </c>
      <c r="D10" s="112"/>
      <c r="E10" s="149"/>
      <c r="F10" s="149"/>
      <c r="G10" s="162"/>
      <c r="H10" s="162"/>
      <c r="I10" s="162"/>
      <c r="J10" s="162"/>
      <c r="K10" s="151"/>
      <c r="L10" s="34"/>
    </row>
    <row r="11" spans="2:12" ht="17.25" customHeight="1" x14ac:dyDescent="0.55000000000000004">
      <c r="B11" s="30" t="s">
        <v>57</v>
      </c>
      <c r="C11" s="31">
        <v>5000</v>
      </c>
      <c r="D11" s="112"/>
      <c r="E11" s="149"/>
      <c r="F11" s="149"/>
      <c r="G11" s="125">
        <v>50000</v>
      </c>
      <c r="H11" s="163">
        <v>50000</v>
      </c>
      <c r="I11" s="163"/>
      <c r="J11" s="125">
        <v>50000</v>
      </c>
      <c r="K11" s="52">
        <v>50000</v>
      </c>
      <c r="L11" s="34"/>
    </row>
    <row r="12" spans="2:12" ht="17.25" customHeight="1" x14ac:dyDescent="0.55000000000000004">
      <c r="B12" s="40" t="s">
        <v>93</v>
      </c>
      <c r="C12" s="41">
        <v>5000</v>
      </c>
      <c r="D12" s="112"/>
      <c r="F12" s="115"/>
      <c r="G12" s="118"/>
      <c r="H12" s="32"/>
      <c r="I12" s="51"/>
      <c r="J12" s="115"/>
      <c r="K12" s="34"/>
      <c r="L12" s="34"/>
    </row>
    <row r="13" spans="2:12" ht="17.25" customHeight="1" x14ac:dyDescent="0.55000000000000004">
      <c r="B13" s="112"/>
      <c r="C13" s="112"/>
      <c r="D13" s="112"/>
      <c r="E13" s="148" t="s">
        <v>104</v>
      </c>
      <c r="F13" s="148"/>
      <c r="G13" s="148"/>
      <c r="H13" s="32"/>
      <c r="I13" s="153" t="s">
        <v>157</v>
      </c>
      <c r="J13" s="154"/>
      <c r="K13" s="155"/>
      <c r="L13" s="34"/>
    </row>
    <row r="14" spans="2:12" ht="17.25" customHeight="1" x14ac:dyDescent="0.55000000000000004">
      <c r="B14" s="144" t="s">
        <v>102</v>
      </c>
      <c r="C14" s="145"/>
      <c r="D14" s="112"/>
      <c r="F14" s="115"/>
      <c r="G14" s="118"/>
      <c r="H14" s="57">
        <f>E49/100</f>
        <v>0.32</v>
      </c>
      <c r="I14" s="156"/>
      <c r="J14" s="149"/>
      <c r="K14" s="157"/>
      <c r="L14" s="34"/>
    </row>
    <row r="15" spans="2:12" ht="17.25" customHeight="1" x14ac:dyDescent="0.55000000000000004">
      <c r="B15" s="146"/>
      <c r="C15" s="147"/>
      <c r="D15" s="112"/>
      <c r="F15" s="115"/>
      <c r="G15" s="118"/>
      <c r="H15" s="32"/>
      <c r="I15" s="114"/>
      <c r="J15" s="173" t="s">
        <v>108</v>
      </c>
      <c r="K15" s="56">
        <v>7</v>
      </c>
      <c r="L15" s="34"/>
    </row>
    <row r="16" spans="2:12" ht="17.25" customHeight="1" x14ac:dyDescent="0.55000000000000004">
      <c r="B16" s="30" t="s">
        <v>82</v>
      </c>
      <c r="C16" s="33">
        <v>0.2</v>
      </c>
      <c r="D16" s="112"/>
      <c r="E16" s="149" t="s">
        <v>105</v>
      </c>
      <c r="F16" s="149"/>
      <c r="G16" s="149"/>
      <c r="H16" s="32"/>
      <c r="I16" s="114"/>
      <c r="J16" s="30" t="s">
        <v>109</v>
      </c>
      <c r="K16" s="56">
        <v>1.5</v>
      </c>
      <c r="L16" s="34"/>
    </row>
    <row r="17" spans="2:18" ht="17.25" customHeight="1" x14ac:dyDescent="0.55000000000000004">
      <c r="B17" s="30" t="s">
        <v>100</v>
      </c>
      <c r="C17" s="33">
        <v>0.65</v>
      </c>
      <c r="D17" s="112"/>
      <c r="F17" s="115"/>
      <c r="G17" s="118"/>
      <c r="H17" s="57">
        <f>E50/100</f>
        <v>0.3</v>
      </c>
      <c r="I17" s="174" t="s">
        <v>96</v>
      </c>
      <c r="J17" s="175"/>
      <c r="K17" s="142">
        <f>L69</f>
        <v>1094444.8124999995</v>
      </c>
      <c r="L17" s="34"/>
    </row>
    <row r="18" spans="2:18" ht="17.25" customHeight="1" x14ac:dyDescent="0.55000000000000004">
      <c r="B18" s="30" t="s">
        <v>94</v>
      </c>
      <c r="C18" s="37">
        <v>0.35</v>
      </c>
      <c r="D18" s="112"/>
      <c r="F18" s="115"/>
      <c r="G18" s="118"/>
      <c r="H18" s="32"/>
      <c r="I18" s="176"/>
      <c r="J18" s="177"/>
      <c r="K18" s="143"/>
      <c r="L18" s="34"/>
    </row>
    <row r="19" spans="2:18" ht="17.25" customHeight="1" x14ac:dyDescent="0.55000000000000004">
      <c r="B19" s="40" t="s">
        <v>80</v>
      </c>
      <c r="C19" s="39">
        <v>0.45</v>
      </c>
      <c r="D19" s="112"/>
      <c r="L19" s="34"/>
    </row>
    <row r="20" spans="2:18" ht="17.25" customHeight="1" x14ac:dyDescent="0.55000000000000004">
      <c r="B20" s="112"/>
      <c r="C20" s="112"/>
      <c r="D20" s="112"/>
      <c r="L20" s="34"/>
    </row>
    <row r="21" spans="2:18" ht="17.25" customHeight="1" x14ac:dyDescent="0.55000000000000004">
      <c r="B21" s="178" t="s">
        <v>156</v>
      </c>
      <c r="C21" s="179">
        <v>0.05</v>
      </c>
      <c r="D21" s="112"/>
      <c r="H21" s="130"/>
      <c r="I21" s="130"/>
      <c r="J21" s="130"/>
      <c r="K21" s="130"/>
      <c r="L21" s="34"/>
      <c r="M21" s="158" t="s">
        <v>99</v>
      </c>
      <c r="N21" s="159"/>
      <c r="O21" s="159"/>
      <c r="P21" s="159"/>
      <c r="Q21" s="159"/>
      <c r="R21" s="160"/>
    </row>
    <row r="22" spans="2:18" ht="17.25" customHeight="1" x14ac:dyDescent="0.55000000000000004">
      <c r="B22" s="180"/>
      <c r="C22" s="181"/>
      <c r="D22" s="112"/>
      <c r="G22" s="51"/>
      <c r="H22" s="51"/>
      <c r="I22" s="51"/>
      <c r="J22" s="51"/>
      <c r="K22" s="51"/>
      <c r="L22" s="34"/>
      <c r="M22" s="132"/>
      <c r="N22" s="128"/>
      <c r="O22" s="122" t="s">
        <v>15</v>
      </c>
      <c r="P22" s="122" t="s">
        <v>7</v>
      </c>
      <c r="Q22" s="122" t="s">
        <v>8</v>
      </c>
      <c r="R22" s="120" t="s">
        <v>9</v>
      </c>
    </row>
    <row r="23" spans="2:18" ht="17.25" customHeight="1" x14ac:dyDescent="0.55000000000000004">
      <c r="D23" s="112"/>
      <c r="G23" s="51"/>
      <c r="H23" s="51"/>
      <c r="I23" s="131"/>
      <c r="J23" s="51"/>
      <c r="K23" s="51"/>
      <c r="L23" s="34"/>
      <c r="M23" s="132"/>
      <c r="N23" s="129" t="s">
        <v>89</v>
      </c>
      <c r="O23" s="126">
        <f>'P&amp;L Impact'!E26</f>
        <v>313275</v>
      </c>
      <c r="P23" s="126">
        <f>'P&amp;L Impact'!G26</f>
        <v>463686.25</v>
      </c>
      <c r="Q23" s="126">
        <f>'P&amp;L Impact'!I26</f>
        <v>613182.5</v>
      </c>
      <c r="R23" s="63">
        <f>'P&amp;L Impact'!K26</f>
        <v>762522.5</v>
      </c>
    </row>
    <row r="24" spans="2:18" ht="17.25" customHeight="1" x14ac:dyDescent="0.55000000000000004">
      <c r="D24" s="112"/>
      <c r="G24" s="51"/>
      <c r="H24" s="51"/>
      <c r="I24" s="131"/>
      <c r="J24" s="51"/>
      <c r="K24" s="51"/>
      <c r="L24" s="34"/>
      <c r="M24" s="133"/>
      <c r="N24" s="116" t="s">
        <v>90</v>
      </c>
      <c r="O24" s="123">
        <f>'P&amp;L Impact'!E29</f>
        <v>-21890</v>
      </c>
      <c r="P24" s="123">
        <f>'P&amp;L Impact'!G29</f>
        <v>10556.3125</v>
      </c>
      <c r="Q24" s="123">
        <f>'P&amp;L Impact'!I29</f>
        <v>57996.875</v>
      </c>
      <c r="R24" s="65">
        <f>'P&amp;L Impact'!K29</f>
        <v>82221.875</v>
      </c>
    </row>
    <row r="25" spans="2:18" ht="17.25" customHeight="1" x14ac:dyDescent="0.55000000000000004">
      <c r="D25" s="112"/>
      <c r="F25" s="115"/>
      <c r="G25" s="118"/>
      <c r="H25" s="32"/>
      <c r="I25" s="51"/>
      <c r="J25" s="115"/>
      <c r="K25" s="34"/>
      <c r="L25" s="34"/>
    </row>
    <row r="26" spans="2:18" ht="17.25" customHeight="1" x14ac:dyDescent="0.55000000000000004">
      <c r="B26" s="112"/>
      <c r="C26" s="112"/>
      <c r="D26" s="112"/>
      <c r="F26" s="115"/>
      <c r="G26" s="118"/>
      <c r="H26" s="32"/>
      <c r="I26" s="51"/>
      <c r="J26" s="115"/>
      <c r="K26" s="34"/>
      <c r="L26" s="34"/>
    </row>
    <row r="27" spans="2:18" ht="17.25" customHeight="1" x14ac:dyDescent="0.55000000000000004">
      <c r="F27" s="51"/>
      <c r="G27" s="51"/>
      <c r="H27" s="32"/>
      <c r="I27" s="51"/>
      <c r="J27" s="51"/>
      <c r="K27" s="51"/>
      <c r="L27" s="38"/>
    </row>
    <row r="28" spans="2:18" ht="17.25" customHeight="1" x14ac:dyDescent="0.55000000000000004">
      <c r="H28" s="36"/>
      <c r="L28" s="38"/>
    </row>
    <row r="29" spans="2:18" ht="17.25" customHeight="1" x14ac:dyDescent="0.55000000000000004">
      <c r="H29" s="36"/>
      <c r="J29" s="139" t="s">
        <v>155</v>
      </c>
    </row>
    <row r="30" spans="2:18" ht="17.25" customHeight="1" x14ac:dyDescent="0.55000000000000004">
      <c r="H30" s="36"/>
      <c r="L30" s="42"/>
      <c r="O30" s="43"/>
    </row>
    <row r="31" spans="2:18" ht="17.25" customHeight="1" x14ac:dyDescent="0.55000000000000004">
      <c r="F31" s="42"/>
      <c r="G31" s="42"/>
      <c r="H31" s="42"/>
      <c r="I31" s="51"/>
      <c r="O31" s="43"/>
    </row>
    <row r="32" spans="2:18" ht="17.25" customHeight="1" x14ac:dyDescent="0.55000000000000004">
      <c r="L32" s="50"/>
    </row>
    <row r="33" spans="2:19" ht="17.25" customHeight="1" x14ac:dyDescent="0.55000000000000004">
      <c r="E33" s="51"/>
      <c r="K33" s="47"/>
      <c r="L33" s="49"/>
      <c r="M33" s="47"/>
      <c r="N33" s="152"/>
      <c r="O33" s="110"/>
    </row>
    <row r="34" spans="2:19" ht="17.25" customHeight="1" x14ac:dyDescent="0.55000000000000004">
      <c r="E34" s="51"/>
      <c r="K34" s="47"/>
      <c r="L34" s="111"/>
      <c r="M34" s="47"/>
      <c r="N34" s="152"/>
      <c r="O34" s="43"/>
    </row>
    <row r="35" spans="2:19" ht="17.25" customHeight="1" x14ac:dyDescent="0.55000000000000004">
      <c r="E35" s="51"/>
      <c r="K35" s="47"/>
      <c r="L35" s="53"/>
      <c r="M35" s="47"/>
      <c r="N35" s="152"/>
      <c r="O35" s="43"/>
    </row>
    <row r="36" spans="2:19" ht="17.25" customHeight="1" x14ac:dyDescent="0.55000000000000004">
      <c r="B36" s="54"/>
      <c r="C36" s="54"/>
      <c r="D36" s="54"/>
      <c r="E36" s="51"/>
      <c r="K36" s="47"/>
      <c r="L36" s="51"/>
      <c r="M36" s="47"/>
      <c r="N36" s="152"/>
      <c r="O36" s="44"/>
    </row>
    <row r="37" spans="2:19" ht="17.25" customHeight="1" x14ac:dyDescent="0.55000000000000004">
      <c r="E37" s="51"/>
      <c r="K37" s="47"/>
      <c r="L37" s="55"/>
      <c r="M37" s="47"/>
      <c r="N37" s="152"/>
      <c r="O37" s="44"/>
    </row>
    <row r="38" spans="2:19" ht="17.25" customHeight="1" x14ac:dyDescent="0.55000000000000004">
      <c r="K38" s="47"/>
      <c r="L38" s="46"/>
      <c r="M38" s="47"/>
      <c r="N38" s="47"/>
    </row>
    <row r="39" spans="2:19" ht="17.25" customHeight="1" x14ac:dyDescent="0.55000000000000004">
      <c r="K39" s="47"/>
      <c r="L39" s="46"/>
      <c r="M39" s="47"/>
      <c r="N39" s="47"/>
    </row>
    <row r="40" spans="2:19" ht="17.25" customHeight="1" x14ac:dyDescent="0.55000000000000004">
      <c r="I40" s="51"/>
      <c r="J40" s="58"/>
      <c r="K40" s="59"/>
      <c r="L40" s="60"/>
      <c r="M40" s="117"/>
      <c r="N40" s="47"/>
    </row>
    <row r="41" spans="2:19" ht="17.25" customHeight="1" x14ac:dyDescent="0.55000000000000004">
      <c r="B41" s="61"/>
      <c r="C41" s="61"/>
      <c r="D41" s="61"/>
      <c r="K41" s="47"/>
      <c r="L41" s="51"/>
      <c r="M41" s="51"/>
      <c r="N41" s="47"/>
    </row>
    <row r="42" spans="2:19" ht="17.25" customHeight="1" x14ac:dyDescent="0.55000000000000004">
      <c r="B42" s="62"/>
      <c r="C42" s="62"/>
      <c r="D42" s="62"/>
      <c r="K42" s="47"/>
      <c r="L42" s="51"/>
      <c r="M42" s="51"/>
      <c r="N42" s="47"/>
      <c r="S42" s="64"/>
    </row>
    <row r="43" spans="2:19" ht="17.25" customHeight="1" x14ac:dyDescent="0.55000000000000004">
      <c r="B43" s="62"/>
      <c r="C43" s="62"/>
      <c r="D43" s="62"/>
      <c r="M43" s="51"/>
    </row>
    <row r="44" spans="2:19" ht="17.25" customHeight="1" x14ac:dyDescent="0.55000000000000004">
      <c r="N44" s="66"/>
      <c r="O44" s="67"/>
      <c r="P44" s="67"/>
      <c r="Q44" s="67"/>
      <c r="R44" s="67"/>
    </row>
    <row r="45" spans="2:19" ht="17.25" customHeight="1" x14ac:dyDescent="0.55000000000000004">
      <c r="B45" s="62"/>
      <c r="C45" s="62"/>
      <c r="D45" s="62"/>
    </row>
    <row r="46" spans="2:19" x14ac:dyDescent="0.55000000000000004">
      <c r="N46" s="68"/>
      <c r="P46" s="69"/>
      <c r="Q46" s="70"/>
    </row>
    <row r="47" spans="2:19" x14ac:dyDescent="0.55000000000000004">
      <c r="N47" s="68"/>
      <c r="P47" s="69"/>
      <c r="Q47" s="69"/>
    </row>
    <row r="48" spans="2:19" hidden="1" x14ac:dyDescent="0.55000000000000004">
      <c r="B48" s="141" t="s">
        <v>49</v>
      </c>
      <c r="C48" s="141"/>
      <c r="D48" s="141"/>
      <c r="E48" s="141"/>
    </row>
    <row r="49" spans="2:20" hidden="1" x14ac:dyDescent="0.55000000000000004">
      <c r="B49" s="71" t="s">
        <v>64</v>
      </c>
      <c r="C49" s="71"/>
      <c r="D49" s="71"/>
      <c r="E49" s="72">
        <v>32</v>
      </c>
    </row>
    <row r="50" spans="2:20" hidden="1" x14ac:dyDescent="0.55000000000000004">
      <c r="B50" s="73" t="s">
        <v>50</v>
      </c>
      <c r="C50" s="73"/>
      <c r="D50" s="73"/>
      <c r="E50" s="74">
        <v>30</v>
      </c>
      <c r="I50" s="75"/>
    </row>
    <row r="51" spans="2:20" x14ac:dyDescent="0.55000000000000004">
      <c r="G51" s="70"/>
      <c r="H51" s="70"/>
      <c r="I51" s="70"/>
      <c r="K51" s="70"/>
      <c r="L51" s="76"/>
      <c r="S51" s="70"/>
      <c r="T51" s="70"/>
    </row>
    <row r="52" spans="2:20" x14ac:dyDescent="0.55000000000000004">
      <c r="J52" s="27" t="s">
        <v>89</v>
      </c>
      <c r="S52" s="70"/>
      <c r="T52" s="70"/>
    </row>
    <row r="53" spans="2:20" x14ac:dyDescent="0.55000000000000004">
      <c r="I53" s="27">
        <v>1</v>
      </c>
      <c r="J53" s="27">
        <v>2</v>
      </c>
      <c r="K53" s="27">
        <v>3</v>
      </c>
      <c r="L53" s="27">
        <v>4</v>
      </c>
      <c r="S53" s="70"/>
      <c r="T53" s="70"/>
    </row>
    <row r="54" spans="2:20" x14ac:dyDescent="0.55000000000000004">
      <c r="G54" s="68" t="s">
        <v>60</v>
      </c>
      <c r="H54" s="68"/>
      <c r="I54" s="69">
        <f>'Core Calculations'!B34+'Core Calculations'!B35+'Core Calculations'!B37</f>
        <v>68900</v>
      </c>
      <c r="J54" s="69">
        <f>'Core Calculations'!C34+'Core Calculations'!C35+'Core Calculations'!C37</f>
        <v>192655</v>
      </c>
      <c r="K54" s="69">
        <f>'Core Calculations'!D34+'Core Calculations'!D35+'Core Calculations'!D37</f>
        <v>313494.99999999994</v>
      </c>
      <c r="L54" s="69">
        <f>'Core Calculations'!E34+'Core Calculations'!E35+'Core Calculations'!E37</f>
        <v>434335</v>
      </c>
      <c r="N54" s="69">
        <f>SUM(I54:L54)</f>
        <v>1009385</v>
      </c>
      <c r="S54" s="70"/>
      <c r="T54" s="70"/>
    </row>
    <row r="55" spans="2:20" x14ac:dyDescent="0.55000000000000004">
      <c r="G55" s="70" t="s">
        <v>59</v>
      </c>
      <c r="H55" s="70"/>
      <c r="I55" s="70">
        <f>'Core Calculations'!B33+'Core Calculations'!B36</f>
        <v>244375</v>
      </c>
      <c r="J55" s="70">
        <f>'Core Calculations'!C33+'Core Calculations'!C36</f>
        <v>271031.25</v>
      </c>
      <c r="K55" s="70">
        <f>'Core Calculations'!D33+'Core Calculations'!D36</f>
        <v>299687.5</v>
      </c>
      <c r="L55" s="70">
        <f>'Core Calculations'!E33+'Core Calculations'!E36</f>
        <v>328187.5</v>
      </c>
      <c r="N55" s="69">
        <f>SUM(I55:L55)</f>
        <v>1143281.25</v>
      </c>
      <c r="S55" s="70"/>
      <c r="T55" s="70"/>
    </row>
    <row r="56" spans="2:20" x14ac:dyDescent="0.55000000000000004">
      <c r="G56" s="70"/>
      <c r="H56" s="70"/>
      <c r="I56" s="70">
        <f>SUM(I53:I55)</f>
        <v>313276</v>
      </c>
      <c r="J56" s="70">
        <f t="shared" ref="J56:K56" si="0">SUM(J53:J55)</f>
        <v>463688.25</v>
      </c>
      <c r="K56" s="70">
        <f t="shared" si="0"/>
        <v>613185.5</v>
      </c>
      <c r="L56" s="70">
        <f>SUM(L53:L55)</f>
        <v>762526.5</v>
      </c>
      <c r="N56" s="69">
        <f>SUM(I56:L56)</f>
        <v>2152676.25</v>
      </c>
      <c r="S56" s="70"/>
      <c r="T56" s="70"/>
    </row>
    <row r="57" spans="2:20" x14ac:dyDescent="0.55000000000000004">
      <c r="G57" s="70"/>
      <c r="H57" s="70"/>
      <c r="I57" s="70"/>
      <c r="J57" s="70"/>
      <c r="K57" s="70"/>
      <c r="L57" s="70"/>
      <c r="N57" s="70"/>
      <c r="S57" s="70"/>
      <c r="T57" s="70"/>
    </row>
    <row r="58" spans="2:20" x14ac:dyDescent="0.55000000000000004">
      <c r="J58" s="27" t="s">
        <v>95</v>
      </c>
      <c r="L58" s="27"/>
      <c r="N58" s="70"/>
      <c r="S58" s="70"/>
      <c r="T58" s="70"/>
    </row>
    <row r="59" spans="2:20" x14ac:dyDescent="0.55000000000000004">
      <c r="I59" s="27">
        <v>1</v>
      </c>
      <c r="J59" s="27">
        <v>2</v>
      </c>
      <c r="K59" s="27">
        <v>3</v>
      </c>
      <c r="L59" s="27">
        <v>4</v>
      </c>
      <c r="N59" s="70"/>
      <c r="S59" s="70"/>
      <c r="T59" s="70"/>
    </row>
    <row r="60" spans="2:20" x14ac:dyDescent="0.55000000000000004">
      <c r="G60" s="68" t="s">
        <v>60</v>
      </c>
      <c r="H60" s="68"/>
      <c r="I60" s="69">
        <f>I54-'Core Calculations'!B40-'Core Calculations'!B41-'Core Calculations'!B43</f>
        <v>20897.5</v>
      </c>
      <c r="J60" s="69">
        <f>J54-'Core Calculations'!C40-'Core Calculations'!C41-'Core Calculations'!C43</f>
        <v>58432.625</v>
      </c>
      <c r="K60" s="69">
        <f>K54-'Core Calculations'!D40-'Core Calculations'!D41-'Core Calculations'!D43</f>
        <v>95083.624999999971</v>
      </c>
      <c r="L60" s="69">
        <f>L54-'Core Calculations'!E40-'Core Calculations'!E41-'Core Calculations'!E43</f>
        <v>131734.62499999994</v>
      </c>
      <c r="N60" s="69">
        <f>SUM(I60:L60)</f>
        <v>306148.37499999988</v>
      </c>
      <c r="O60" s="77">
        <f>N60/N54</f>
        <v>0.30330188679245274</v>
      </c>
      <c r="S60" s="70"/>
      <c r="T60" s="70"/>
    </row>
    <row r="61" spans="2:20" x14ac:dyDescent="0.55000000000000004">
      <c r="G61" s="70" t="s">
        <v>59</v>
      </c>
      <c r="H61" s="70"/>
      <c r="I61" s="70">
        <f>I55-'Core Calculations'!B39-'Core Calculations'!B42</f>
        <v>85531.25</v>
      </c>
      <c r="J61" s="70">
        <f>J55-'Core Calculations'!C39-'Core Calculations'!C42</f>
        <v>94860.9375</v>
      </c>
      <c r="K61" s="70">
        <f>K55-'Core Calculations'!D39-'Core Calculations'!D42</f>
        <v>104890.625</v>
      </c>
      <c r="L61" s="70">
        <f>L55-'Core Calculations'!E39-'Core Calculations'!E42</f>
        <v>114865.625</v>
      </c>
      <c r="N61" s="69">
        <f>SUM(I61:L61)</f>
        <v>400148.4375</v>
      </c>
      <c r="O61" s="77">
        <f t="shared" ref="O61:O62" si="1">N61/N55</f>
        <v>0.35</v>
      </c>
      <c r="S61" s="70"/>
      <c r="T61" s="70"/>
    </row>
    <row r="62" spans="2:20" x14ac:dyDescent="0.55000000000000004">
      <c r="G62" s="70"/>
      <c r="H62" s="70"/>
      <c r="I62" s="70">
        <f>SUM(I59:I61)</f>
        <v>106429.75</v>
      </c>
      <c r="J62" s="70">
        <f t="shared" ref="J62" si="2">SUM(J59:J61)</f>
        <v>153295.5625</v>
      </c>
      <c r="K62" s="70">
        <f t="shared" ref="K62" si="3">SUM(K59:K61)</f>
        <v>199977.24999999997</v>
      </c>
      <c r="L62" s="70">
        <f t="shared" ref="L62" si="4">SUM(L59:L61)</f>
        <v>246604.24999999994</v>
      </c>
      <c r="N62" s="69">
        <f>SUM(I62:L62)</f>
        <v>706306.8125</v>
      </c>
      <c r="O62" s="77">
        <f t="shared" si="1"/>
        <v>0.32810638037187434</v>
      </c>
      <c r="S62" s="70"/>
      <c r="T62" s="70"/>
    </row>
    <row r="63" spans="2:20" x14ac:dyDescent="0.55000000000000004">
      <c r="G63" s="70"/>
      <c r="H63" s="70"/>
      <c r="I63" s="70"/>
      <c r="J63" s="70"/>
      <c r="K63" s="70"/>
      <c r="L63" s="76"/>
      <c r="M63" s="70"/>
      <c r="N63" s="70"/>
      <c r="S63" s="70"/>
      <c r="T63" s="70"/>
    </row>
    <row r="64" spans="2:20" x14ac:dyDescent="0.55000000000000004">
      <c r="N64" s="70"/>
      <c r="S64" s="70"/>
      <c r="T64" s="70"/>
    </row>
    <row r="65" spans="7:20" x14ac:dyDescent="0.55000000000000004">
      <c r="J65" s="27" t="s">
        <v>62</v>
      </c>
      <c r="N65" s="70"/>
      <c r="S65" s="70"/>
      <c r="T65" s="70"/>
    </row>
    <row r="66" spans="7:20" x14ac:dyDescent="0.55000000000000004">
      <c r="I66" s="27">
        <v>1</v>
      </c>
      <c r="J66" s="27">
        <v>2</v>
      </c>
      <c r="K66" s="27">
        <v>3</v>
      </c>
      <c r="L66" s="27">
        <v>4</v>
      </c>
      <c r="N66" s="70"/>
      <c r="S66" s="70"/>
      <c r="T66" s="70"/>
    </row>
    <row r="67" spans="7:20" x14ac:dyDescent="0.55000000000000004">
      <c r="G67" s="68" t="s">
        <v>60</v>
      </c>
      <c r="H67" s="68"/>
      <c r="I67" s="69">
        <f>I60*$K$15</f>
        <v>146282.5</v>
      </c>
      <c r="J67" s="69">
        <f>J60*$K$15</f>
        <v>409028.375</v>
      </c>
      <c r="K67" s="69">
        <f>K60*$K$15</f>
        <v>665585.37499999977</v>
      </c>
      <c r="L67" s="69">
        <f>L60*$K$15</f>
        <v>922142.37499999953</v>
      </c>
      <c r="S67" s="70"/>
      <c r="T67" s="70"/>
    </row>
    <row r="68" spans="7:20" x14ac:dyDescent="0.55000000000000004">
      <c r="G68" s="70" t="s">
        <v>59</v>
      </c>
      <c r="H68" s="70"/>
      <c r="I68" s="70">
        <f>I61*$K$16</f>
        <v>128296.875</v>
      </c>
      <c r="J68" s="70">
        <f>J61*$K$16</f>
        <v>142291.40625</v>
      </c>
      <c r="K68" s="70">
        <f>K61*$K$16</f>
        <v>157335.9375</v>
      </c>
      <c r="L68" s="70">
        <f>L61*$K$16</f>
        <v>172298.4375</v>
      </c>
      <c r="S68" s="70"/>
      <c r="T68" s="70"/>
    </row>
    <row r="69" spans="7:20" x14ac:dyDescent="0.55000000000000004">
      <c r="G69" s="70"/>
      <c r="H69" s="70"/>
      <c r="I69" s="70">
        <f>SUM(I66:I68)</f>
        <v>274580.375</v>
      </c>
      <c r="J69" s="70">
        <f t="shared" ref="J69" si="5">SUM(J66:J68)</f>
        <v>551321.78125</v>
      </c>
      <c r="K69" s="70">
        <f t="shared" ref="K69" si="6">SUM(K66:K68)</f>
        <v>822924.31249999977</v>
      </c>
      <c r="L69" s="70">
        <f t="shared" ref="L69" si="7">SUM(L66:L68)</f>
        <v>1094444.8124999995</v>
      </c>
      <c r="S69" s="70"/>
      <c r="T69" s="70"/>
    </row>
    <row r="70" spans="7:20" x14ac:dyDescent="0.55000000000000004">
      <c r="G70" s="70"/>
      <c r="H70" s="70"/>
      <c r="I70" s="70"/>
      <c r="K70" s="70"/>
      <c r="L70" s="76"/>
      <c r="S70" s="70"/>
      <c r="T70" s="70"/>
    </row>
  </sheetData>
  <sheetProtection algorithmName="SHA-512" hashValue="9sHXHtIMPJLLt8+/sP2zq2tgTRI+9wmAzZzvHC4FrWFlYwgpzITaVDAw3CiJY5xneBLZrekGJSIaTcPBQbVMyQ==" saltValue="dGy5gxt0uVr5uOfM1OAVyA==" spinCount="100000" sheet="1" objects="1" scenarios="1"/>
  <mergeCells count="28">
    <mergeCell ref="E9:F11"/>
    <mergeCell ref="H9:I10"/>
    <mergeCell ref="H11:I11"/>
    <mergeCell ref="B2:C4"/>
    <mergeCell ref="E2:F3"/>
    <mergeCell ref="H2:I2"/>
    <mergeCell ref="H3:I3"/>
    <mergeCell ref="G5:G6"/>
    <mergeCell ref="E5:F7"/>
    <mergeCell ref="B6:C7"/>
    <mergeCell ref="H5:I6"/>
    <mergeCell ref="H7:I7"/>
    <mergeCell ref="K5:K6"/>
    <mergeCell ref="N33:N37"/>
    <mergeCell ref="I13:K14"/>
    <mergeCell ref="M21:R21"/>
    <mergeCell ref="G9:G10"/>
    <mergeCell ref="J9:J10"/>
    <mergeCell ref="K9:K10"/>
    <mergeCell ref="J5:J6"/>
    <mergeCell ref="B48:E48"/>
    <mergeCell ref="K17:K18"/>
    <mergeCell ref="B14:C15"/>
    <mergeCell ref="E13:G13"/>
    <mergeCell ref="E16:G16"/>
    <mergeCell ref="I17:J18"/>
    <mergeCell ref="B21:B22"/>
    <mergeCell ref="C21:C22"/>
  </mergeCells>
  <pageMargins left="0.7" right="0.7" top="0.75" bottom="0.75" header="0.3" footer="0.3"/>
  <pageSetup orientation="portrait" r:id="rId1"/>
  <ignoredErrors>
    <ignoredError sqref="G7:K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Scroll Bar 5">
              <controlPr locked="0" defaultSize="0" autoPict="0">
                <anchor moveWithCells="1">
                  <from>
                    <xdr:col>3</xdr:col>
                    <xdr:colOff>200025</xdr:colOff>
                    <xdr:row>13</xdr:row>
                    <xdr:rowOff>9525</xdr:rowOff>
                  </from>
                  <to>
                    <xdr:col>7</xdr:col>
                    <xdr:colOff>9525</xdr:colOff>
                    <xdr:row>14</xdr:row>
                    <xdr:rowOff>85725</xdr:rowOff>
                  </to>
                </anchor>
              </controlPr>
            </control>
          </mc:Choice>
        </mc:AlternateContent>
        <mc:AlternateContent xmlns:mc="http://schemas.openxmlformats.org/markup-compatibility/2006">
          <mc:Choice Requires="x14">
            <control shapeId="1051" r:id="rId5" name="Scroll Bar 27">
              <controlPr locked="0" defaultSize="0" autoPict="0">
                <anchor moveWithCells="1">
                  <from>
                    <xdr:col>4</xdr:col>
                    <xdr:colOff>0</xdr:colOff>
                    <xdr:row>16</xdr:row>
                    <xdr:rowOff>9525</xdr:rowOff>
                  </from>
                  <to>
                    <xdr:col>7</xdr:col>
                    <xdr:colOff>0</xdr:colOff>
                    <xdr:row>17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107"/>
  <sheetViews>
    <sheetView showGridLines="0" zoomScale="80" zoomScaleNormal="80" workbookViewId="0">
      <pane xSplit="4" ySplit="2" topLeftCell="E3" activePane="bottomRight" state="frozen"/>
      <selection pane="topRight" activeCell="C1" sqref="C1"/>
      <selection pane="bottomLeft" activeCell="A3" sqref="A3"/>
      <selection pane="bottomRight" activeCell="O33" sqref="O33"/>
    </sheetView>
  </sheetViews>
  <sheetFormatPr defaultColWidth="9.1328125" defaultRowHeight="15.4" x14ac:dyDescent="0.55000000000000004"/>
  <cols>
    <col min="1" max="1" width="9.1328125" style="27"/>
    <col min="2" max="3" width="5" style="27" customWidth="1"/>
    <col min="4" max="4" width="55.86328125" style="27" customWidth="1"/>
    <col min="5" max="5" width="16.73046875" style="27" customWidth="1"/>
    <col min="6" max="6" width="9.59765625" style="27" customWidth="1"/>
    <col min="7" max="7" width="16.73046875" style="27" customWidth="1"/>
    <col min="8" max="8" width="9.59765625" style="27" customWidth="1"/>
    <col min="9" max="9" width="16.73046875" style="27" customWidth="1"/>
    <col min="10" max="10" width="9.59765625" style="27" customWidth="1"/>
    <col min="11" max="11" width="16.73046875" style="27" customWidth="1"/>
    <col min="12" max="12" width="9.59765625" style="27" customWidth="1"/>
    <col min="13" max="13" width="5.3984375" style="27" customWidth="1"/>
    <col min="14" max="14" width="12" style="27" bestFit="1" customWidth="1"/>
    <col min="15" max="15" width="11" style="54" bestFit="1" customWidth="1"/>
    <col min="16" max="16" width="35.265625" style="27" customWidth="1"/>
    <col min="17" max="16384" width="9.1328125" style="27"/>
  </cols>
  <sheetData>
    <row r="1" spans="1:15" ht="25.5" customHeight="1" x14ac:dyDescent="0.55000000000000004">
      <c r="E1" s="170" t="s">
        <v>5</v>
      </c>
      <c r="F1" s="170"/>
      <c r="G1" s="170" t="s">
        <v>2</v>
      </c>
      <c r="H1" s="170"/>
      <c r="I1" s="170" t="s">
        <v>3</v>
      </c>
      <c r="J1" s="170"/>
      <c r="K1" s="170" t="s">
        <v>4</v>
      </c>
      <c r="L1" s="170"/>
      <c r="O1" s="27"/>
    </row>
    <row r="2" spans="1:15" ht="30.75" x14ac:dyDescent="0.55000000000000004">
      <c r="E2" s="68"/>
      <c r="F2" s="78" t="s">
        <v>6</v>
      </c>
      <c r="G2" s="68"/>
      <c r="H2" s="78" t="s">
        <v>6</v>
      </c>
      <c r="I2" s="68"/>
      <c r="J2" s="78" t="s">
        <v>6</v>
      </c>
      <c r="K2" s="68"/>
      <c r="L2" s="78" t="s">
        <v>6</v>
      </c>
      <c r="O2" s="27"/>
    </row>
    <row r="3" spans="1:15" x14ac:dyDescent="0.55000000000000004">
      <c r="A3" s="169" t="s">
        <v>89</v>
      </c>
      <c r="B3" s="27" t="s">
        <v>48</v>
      </c>
      <c r="O3" s="27"/>
    </row>
    <row r="4" spans="1:15" x14ac:dyDescent="0.55000000000000004">
      <c r="A4" s="169"/>
      <c r="C4" s="27" t="s">
        <v>81</v>
      </c>
      <c r="E4" s="69">
        <f>'Core Calculations'!B37</f>
        <v>48750</v>
      </c>
      <c r="F4" s="77">
        <f>IFERROR(E4/$E$26,0)</f>
        <v>0.15561407708881972</v>
      </c>
      <c r="G4" s="69">
        <f>'Core Calculations'!C37</f>
        <v>136312.5</v>
      </c>
      <c r="H4" s="77">
        <f>IFERROR(G4/$G$26,0)</f>
        <v>0.2939757217299413</v>
      </c>
      <c r="I4" s="69">
        <f>'Core Calculations'!D37</f>
        <v>221812.49999999997</v>
      </c>
      <c r="J4" s="77">
        <f>IFERROR(I4/$I$26,0)</f>
        <v>0.36173977567852961</v>
      </c>
      <c r="K4" s="69">
        <f>'Core Calculations'!E37</f>
        <v>307312.5</v>
      </c>
      <c r="L4" s="77">
        <f>IFERROR(K4/$K$26,0)</f>
        <v>0.40302089446540923</v>
      </c>
      <c r="O4" s="27"/>
    </row>
    <row r="5" spans="1:15" s="28" customFormat="1" x14ac:dyDescent="0.55000000000000004">
      <c r="A5" s="169"/>
      <c r="C5" s="79" t="s">
        <v>37</v>
      </c>
      <c r="E5" s="80">
        <f>'Core Calculations'!B34</f>
        <v>10400</v>
      </c>
      <c r="F5" s="77">
        <f>IFERROR(E5/$E$26,0)</f>
        <v>3.3197669778948211E-2</v>
      </c>
      <c r="G5" s="80">
        <f>'Core Calculations'!C34</f>
        <v>29079.999999999996</v>
      </c>
      <c r="H5" s="77">
        <f>IFERROR(G5/$G$26,0)</f>
        <v>6.27148206357208E-2</v>
      </c>
      <c r="I5" s="80">
        <f>'Core Calculations'!D34</f>
        <v>47319.999999999985</v>
      </c>
      <c r="J5" s="77">
        <f>IFERROR(I5/$I$26,0)</f>
        <v>7.7171152144752966E-2</v>
      </c>
      <c r="K5" s="80">
        <f>'Core Calculations'!E34</f>
        <v>65560.000000000029</v>
      </c>
      <c r="L5" s="77">
        <f>IFERROR(K5/$K$26,0)</f>
        <v>8.5977790819287345E-2</v>
      </c>
    </row>
    <row r="6" spans="1:15" x14ac:dyDescent="0.55000000000000004">
      <c r="A6" s="169"/>
      <c r="D6" s="68" t="s">
        <v>19</v>
      </c>
      <c r="E6" s="84">
        <f>SUM(E4:E5)</f>
        <v>59150</v>
      </c>
      <c r="F6" s="77">
        <f>IFERROR(E6/$E$26,0)</f>
        <v>0.18881174686776794</v>
      </c>
      <c r="G6" s="84">
        <f>SUM(G4:G5)</f>
        <v>165392.5</v>
      </c>
      <c r="H6" s="77">
        <f>IFERROR(G6/$G$26,0)</f>
        <v>0.35669054236566211</v>
      </c>
      <c r="I6" s="84">
        <f>SUM(I4:I5)</f>
        <v>269132.49999999994</v>
      </c>
      <c r="J6" s="77">
        <f>IFERROR(I6/$I$26,0)</f>
        <v>0.43891092782328256</v>
      </c>
      <c r="K6" s="84">
        <f>SUM(K4:K5)</f>
        <v>372872.5</v>
      </c>
      <c r="L6" s="77">
        <f>IFERROR(K6/$K$26,0)</f>
        <v>0.48899868528469653</v>
      </c>
      <c r="O6" s="27"/>
    </row>
    <row r="7" spans="1:15" x14ac:dyDescent="0.55000000000000004">
      <c r="A7" s="169"/>
      <c r="B7" s="27" t="s">
        <v>47</v>
      </c>
      <c r="C7" s="62"/>
      <c r="E7" s="69"/>
      <c r="F7" s="77"/>
      <c r="G7" s="70"/>
      <c r="H7" s="77"/>
      <c r="I7" s="70"/>
      <c r="J7" s="77"/>
      <c r="K7" s="70"/>
      <c r="L7" s="77"/>
      <c r="O7" s="27"/>
    </row>
    <row r="8" spans="1:15" x14ac:dyDescent="0.55000000000000004">
      <c r="A8" s="169"/>
      <c r="C8" s="27" t="s">
        <v>86</v>
      </c>
      <c r="E8" s="69">
        <f>'Core Calculations'!B33+'Core Calculations'!B36</f>
        <v>244375</v>
      </c>
      <c r="F8" s="77">
        <f>IFERROR(E8/$E$26,0)</f>
        <v>0.78006543771446812</v>
      </c>
      <c r="G8" s="69">
        <f>'Core Calculations'!C33+'Core Calculations'!C36</f>
        <v>271031.25</v>
      </c>
      <c r="H8" s="77">
        <f>IFERROR(G8/$G$26,0)</f>
        <v>0.58451431328834957</v>
      </c>
      <c r="I8" s="69">
        <f>'Core Calculations'!D33+'Core Calculations'!D36</f>
        <v>299687.5</v>
      </c>
      <c r="J8" s="77">
        <f>IFERROR(I8/$I$26,0)</f>
        <v>0.48874111704101142</v>
      </c>
      <c r="K8" s="69">
        <f>'Core Calculations'!E33+'Core Calculations'!E36</f>
        <v>328187.5</v>
      </c>
      <c r="L8" s="77">
        <f>IFERROR(K8/$K$26,0)</f>
        <v>0.43039713582222167</v>
      </c>
      <c r="O8" s="27"/>
    </row>
    <row r="9" spans="1:15" x14ac:dyDescent="0.55000000000000004">
      <c r="A9" s="169"/>
      <c r="C9" s="27" t="s">
        <v>41</v>
      </c>
      <c r="E9" s="83">
        <f>'Core Calculations'!B35</f>
        <v>9750</v>
      </c>
      <c r="F9" s="77">
        <f>IFERROR(E9/$E$26,0)</f>
        <v>3.1122815417763947E-2</v>
      </c>
      <c r="G9" s="83">
        <f>'Core Calculations'!C35</f>
        <v>27262.499999999996</v>
      </c>
      <c r="H9" s="77">
        <f>IFERROR(G9/$G$26,0)</f>
        <v>5.8795144345988253E-2</v>
      </c>
      <c r="I9" s="83">
        <f>'Core Calculations'!D35</f>
        <v>44362.499999999993</v>
      </c>
      <c r="J9" s="77">
        <f>IFERROR(I9/$I$26,0)</f>
        <v>7.234795513570591E-2</v>
      </c>
      <c r="K9" s="83">
        <f>'Core Calculations'!E35</f>
        <v>61462.5</v>
      </c>
      <c r="L9" s="77">
        <f>IFERROR(K9/$K$26,0)</f>
        <v>8.0604178893081843E-2</v>
      </c>
      <c r="O9" s="27"/>
    </row>
    <row r="10" spans="1:15" x14ac:dyDescent="0.55000000000000004">
      <c r="A10" s="169"/>
      <c r="D10" s="68" t="s">
        <v>19</v>
      </c>
      <c r="E10" s="85">
        <f>SUM(E8:E9)</f>
        <v>254125</v>
      </c>
      <c r="F10" s="77">
        <f>IFERROR(E10/$E$26,0)</f>
        <v>0.81118825313223208</v>
      </c>
      <c r="G10" s="85">
        <f>SUM(G8:G9)</f>
        <v>298293.75</v>
      </c>
      <c r="H10" s="77">
        <f>IFERROR(G10/$G$26,0)</f>
        <v>0.64330945763433789</v>
      </c>
      <c r="I10" s="85">
        <f>SUM(I8:I9)</f>
        <v>344050</v>
      </c>
      <c r="J10" s="77">
        <f>IFERROR(I10/$I$26,0)</f>
        <v>0.56108907217671733</v>
      </c>
      <c r="K10" s="85">
        <f>SUM(K8:K9)</f>
        <v>389650</v>
      </c>
      <c r="L10" s="77">
        <f>IFERROR(K10/$K$26,0)</f>
        <v>0.51100131471530352</v>
      </c>
      <c r="O10" s="27"/>
    </row>
    <row r="11" spans="1:15" x14ac:dyDescent="0.55000000000000004">
      <c r="E11" s="70"/>
      <c r="F11" s="86"/>
      <c r="G11" s="70"/>
      <c r="H11" s="86"/>
      <c r="I11" s="70"/>
      <c r="J11" s="86"/>
      <c r="K11" s="70"/>
      <c r="L11" s="86"/>
    </row>
    <row r="12" spans="1:15" x14ac:dyDescent="0.55000000000000004">
      <c r="A12" s="169"/>
      <c r="B12" s="27" t="s">
        <v>48</v>
      </c>
      <c r="E12" s="88"/>
      <c r="F12" s="78"/>
      <c r="G12" s="68"/>
      <c r="H12" s="78"/>
      <c r="I12" s="68"/>
      <c r="J12" s="78"/>
      <c r="K12" s="68"/>
      <c r="L12" s="78"/>
      <c r="O12" s="27"/>
    </row>
    <row r="13" spans="1:15" x14ac:dyDescent="0.55000000000000004">
      <c r="A13" s="169"/>
      <c r="C13" s="27" t="s">
        <v>81</v>
      </c>
      <c r="E13" s="81">
        <f>'Core Calculations'!B43</f>
        <v>39000</v>
      </c>
      <c r="F13" s="77">
        <f>IFERROR(E13/$E$26,0)</f>
        <v>0.12449126167105579</v>
      </c>
      <c r="G13" s="81">
        <f>'Core Calculations'!C43</f>
        <v>109050</v>
      </c>
      <c r="H13" s="77">
        <f>IFERROR(G13/$G$26,0)</f>
        <v>0.23518057738395304</v>
      </c>
      <c r="I13" s="81">
        <f>'Core Calculations'!D43</f>
        <v>177449.99999999997</v>
      </c>
      <c r="J13" s="77">
        <f>IFERROR(I13/$I$26,0)</f>
        <v>0.28939182054282364</v>
      </c>
      <c r="K13" s="81">
        <f>'Core Calculations'!E43</f>
        <v>245850.00000000006</v>
      </c>
      <c r="L13" s="77">
        <f>IFERROR(K13/$K$26,0)</f>
        <v>0.32241671557232743</v>
      </c>
      <c r="O13" s="27"/>
    </row>
    <row r="14" spans="1:15" x14ac:dyDescent="0.55000000000000004">
      <c r="A14" s="169"/>
      <c r="C14" s="62" t="s">
        <v>37</v>
      </c>
      <c r="E14" s="89">
        <f>'Core Calculations'!B40</f>
        <v>3640</v>
      </c>
      <c r="F14" s="77">
        <f>IFERROR(E14/$E$26,0)</f>
        <v>1.1619184422631873E-2</v>
      </c>
      <c r="G14" s="89">
        <f>'Core Calculations'!C40</f>
        <v>10177.999999999998</v>
      </c>
      <c r="H14" s="77">
        <f>IFERROR(G14/$G$26,0)</f>
        <v>2.195018722250228E-2</v>
      </c>
      <c r="I14" s="89">
        <f>'Core Calculations'!D40</f>
        <v>16561.999999999989</v>
      </c>
      <c r="J14" s="77">
        <f>IFERROR(I14/$I$26,0)</f>
        <v>2.700990325066353E-2</v>
      </c>
      <c r="K14" s="89">
        <f>'Core Calculations'!E40</f>
        <v>22946.000000000007</v>
      </c>
      <c r="L14" s="77">
        <f>IFERROR(K14/$K$26,0)</f>
        <v>3.0092226786750564E-2</v>
      </c>
      <c r="O14" s="27"/>
    </row>
    <row r="15" spans="1:15" x14ac:dyDescent="0.55000000000000004">
      <c r="A15" s="169"/>
      <c r="D15" s="68" t="s">
        <v>19</v>
      </c>
      <c r="E15" s="91">
        <f>SUM(E13:E14)</f>
        <v>42640</v>
      </c>
      <c r="F15" s="77">
        <f>IFERROR(E15/$E$26,0)</f>
        <v>0.13611044609368766</v>
      </c>
      <c r="G15" s="91">
        <f>SUM(G13:G14)</f>
        <v>119228</v>
      </c>
      <c r="H15" s="77">
        <f>IFERROR(G15/$G$26,0)</f>
        <v>0.25713076460645534</v>
      </c>
      <c r="I15" s="91">
        <f>SUM(I13:I14)</f>
        <v>194011.99999999997</v>
      </c>
      <c r="J15" s="77">
        <f>IFERROR(I15/$I$26,0)</f>
        <v>0.31640172379348719</v>
      </c>
      <c r="K15" s="91">
        <f>SUM(K13:K14)</f>
        <v>268796.00000000006</v>
      </c>
      <c r="L15" s="77">
        <f>IFERROR(K15/$K$26,0)</f>
        <v>0.35250894235907798</v>
      </c>
      <c r="O15" s="27"/>
    </row>
    <row r="16" spans="1:15" x14ac:dyDescent="0.55000000000000004">
      <c r="A16" s="169"/>
      <c r="B16" s="27" t="s">
        <v>47</v>
      </c>
      <c r="E16" s="68"/>
      <c r="F16" s="78"/>
      <c r="G16" s="90"/>
      <c r="H16" s="78"/>
      <c r="I16" s="68"/>
      <c r="J16" s="78"/>
      <c r="K16" s="68"/>
      <c r="L16" s="78"/>
      <c r="O16" s="27"/>
    </row>
    <row r="17" spans="1:15" x14ac:dyDescent="0.55000000000000004">
      <c r="A17" s="169"/>
      <c r="C17" s="27" t="s">
        <v>86</v>
      </c>
      <c r="E17" s="91">
        <f>'Core Calculations'!B39+'Core Calculations'!B42</f>
        <v>158843.75</v>
      </c>
      <c r="F17" s="77">
        <f>IFERROR(E17/$E$26,0)</f>
        <v>0.50704253451440429</v>
      </c>
      <c r="G17" s="91">
        <f>'Core Calculations'!C39+'Core Calculations'!C42</f>
        <v>176170.3125</v>
      </c>
      <c r="H17" s="77">
        <f>IFERROR(G17/$G$26,0)</f>
        <v>0.37993430363742725</v>
      </c>
      <c r="I17" s="91">
        <f>'Core Calculations'!D39+'Core Calculations'!D42</f>
        <v>194796.875</v>
      </c>
      <c r="J17" s="77">
        <f>IFERROR(I17/$I$26,0)</f>
        <v>0.31768172607665746</v>
      </c>
      <c r="K17" s="91">
        <f>'Core Calculations'!E39+'Core Calculations'!E42</f>
        <v>213321.875</v>
      </c>
      <c r="L17" s="77">
        <f>IFERROR(K17/$K$26,0)</f>
        <v>0.27975813828444407</v>
      </c>
      <c r="N17" s="92"/>
      <c r="O17" s="27"/>
    </row>
    <row r="18" spans="1:15" s="28" customFormat="1" x14ac:dyDescent="0.55000000000000004">
      <c r="A18" s="169"/>
      <c r="C18" s="28" t="s">
        <v>41</v>
      </c>
      <c r="E18" s="93">
        <f>'Core Calculations'!B41</f>
        <v>5362.5</v>
      </c>
      <c r="F18" s="77">
        <f>IFERROR(E18/$E$26,0)</f>
        <v>1.7117548479770171E-2</v>
      </c>
      <c r="G18" s="93">
        <f>'Core Calculations'!C41</f>
        <v>14994.375</v>
      </c>
      <c r="H18" s="77">
        <f>IFERROR(G18/$G$26,0)</f>
        <v>3.2337329390293545E-2</v>
      </c>
      <c r="I18" s="93">
        <f>'Core Calculations'!D41</f>
        <v>24399.374999999996</v>
      </c>
      <c r="J18" s="77">
        <f>IFERROR(I18/$I$26,0)</f>
        <v>3.9791375324638258E-2</v>
      </c>
      <c r="K18" s="93">
        <f>'Core Calculations'!E41</f>
        <v>33804.375000000015</v>
      </c>
      <c r="L18" s="77">
        <f>IFERROR(K18/$K$26,0)</f>
        <v>4.4332298391195034E-2</v>
      </c>
      <c r="N18" s="94"/>
    </row>
    <row r="19" spans="1:15" x14ac:dyDescent="0.55000000000000004">
      <c r="A19" s="169"/>
      <c r="D19" s="68" t="s">
        <v>19</v>
      </c>
      <c r="E19" s="95">
        <f>SUM(E17:E18)</f>
        <v>164206.25</v>
      </c>
      <c r="F19" s="77">
        <f>IFERROR(E19/$E$26,0)</f>
        <v>0.52416008299417449</v>
      </c>
      <c r="G19" s="95">
        <f>SUM(G17:G18)</f>
        <v>191164.6875</v>
      </c>
      <c r="H19" s="77">
        <f>IFERROR(G19/$G$26,0)</f>
        <v>0.4122716330277208</v>
      </c>
      <c r="I19" s="95">
        <f>SUM(I17:I18)</f>
        <v>219196.25</v>
      </c>
      <c r="J19" s="77">
        <f>IFERROR(I19/$I$26,0)</f>
        <v>0.35747310140129568</v>
      </c>
      <c r="K19" s="95">
        <f>SUM(K17:K18)</f>
        <v>247126.25</v>
      </c>
      <c r="L19" s="77">
        <f>IFERROR(K19/$K$26,0)</f>
        <v>0.32409043667563908</v>
      </c>
      <c r="O19" s="27"/>
    </row>
    <row r="20" spans="1:15" x14ac:dyDescent="0.55000000000000004">
      <c r="E20" s="68"/>
      <c r="F20" s="78"/>
      <c r="G20" s="68"/>
      <c r="H20" s="78"/>
      <c r="I20" s="68"/>
      <c r="J20" s="78"/>
      <c r="K20" s="68"/>
      <c r="L20" s="78"/>
      <c r="O20" s="27"/>
    </row>
    <row r="21" spans="1:15" ht="15.75" customHeight="1" x14ac:dyDescent="0.55000000000000004">
      <c r="A21" s="169" t="s">
        <v>21</v>
      </c>
      <c r="B21" s="27" t="s">
        <v>10</v>
      </c>
      <c r="E21" s="96"/>
      <c r="F21" s="77"/>
      <c r="G21" s="96"/>
      <c r="H21" s="77"/>
      <c r="I21" s="96"/>
      <c r="J21" s="77"/>
      <c r="K21" s="96"/>
      <c r="L21" s="77"/>
      <c r="O21" s="13" t="s">
        <v>155</v>
      </c>
    </row>
    <row r="22" spans="1:15" x14ac:dyDescent="0.55000000000000004">
      <c r="A22" s="169"/>
      <c r="D22" s="27" t="s">
        <v>92</v>
      </c>
      <c r="E22" s="97">
        <f>'Key Variables'!G7</f>
        <v>78318.75</v>
      </c>
      <c r="F22" s="77">
        <f>IFERROR(E22/$E$26,0)</f>
        <v>0.25</v>
      </c>
      <c r="G22" s="97">
        <f>'Key Variables'!H7</f>
        <v>92737.25</v>
      </c>
      <c r="H22" s="77">
        <f>IFERROR(G22/$G$26,0)</f>
        <v>0.2</v>
      </c>
      <c r="I22" s="97">
        <f>'Key Variables'!J7</f>
        <v>91977.375</v>
      </c>
      <c r="J22" s="77">
        <f>IFERROR(I22/$I$26,0)</f>
        <v>0.15</v>
      </c>
      <c r="K22" s="97">
        <f>'Key Variables'!K7</f>
        <v>114378.375</v>
      </c>
      <c r="L22" s="77">
        <f>IFERROR(K22/$K$26,0)</f>
        <v>0.15</v>
      </c>
      <c r="O22" s="27"/>
    </row>
    <row r="23" spans="1:15" x14ac:dyDescent="0.55000000000000004">
      <c r="A23" s="169"/>
      <c r="D23" s="27" t="s">
        <v>91</v>
      </c>
      <c r="E23" s="83">
        <f>'Key Variables'!G11</f>
        <v>50000</v>
      </c>
      <c r="F23" s="77">
        <f>IFERROR(E23/$E$26,0)</f>
        <v>0.15960418162955869</v>
      </c>
      <c r="G23" s="83">
        <f>'Key Variables'!H11</f>
        <v>50000</v>
      </c>
      <c r="H23" s="77">
        <f>IFERROR(G23/$G$26,0)</f>
        <v>0.1078315347931926</v>
      </c>
      <c r="I23" s="83">
        <f>'Key Variables'!J11</f>
        <v>50000</v>
      </c>
      <c r="J23" s="77">
        <f>IFERROR(I23/$I$26,0)</f>
        <v>8.154179220705092E-2</v>
      </c>
      <c r="K23" s="83">
        <f>'Key Variables'!K11</f>
        <v>50000</v>
      </c>
      <c r="L23" s="77">
        <f>IFERROR(K23/$K$26,0)</f>
        <v>6.5571835585179455E-2</v>
      </c>
      <c r="O23" s="27"/>
    </row>
    <row r="24" spans="1:15" x14ac:dyDescent="0.55000000000000004">
      <c r="A24" s="169"/>
      <c r="D24" s="68" t="s">
        <v>11</v>
      </c>
      <c r="E24" s="69">
        <f>SUM(E22:E23)</f>
        <v>128318.75</v>
      </c>
      <c r="F24" s="77">
        <f>IFERROR(E24/$E$26,0)</f>
        <v>0.40960418162955869</v>
      </c>
      <c r="G24" s="69">
        <f>SUM(G22:G23)</f>
        <v>142737.25</v>
      </c>
      <c r="H24" s="77">
        <f>IFERROR(G24/$G$26,0)</f>
        <v>0.30783153479319258</v>
      </c>
      <c r="I24" s="69">
        <f>SUM(I22:I23)</f>
        <v>141977.375</v>
      </c>
      <c r="J24" s="77">
        <f>IFERROR(I24/$I$26,0)</f>
        <v>0.23154179220705093</v>
      </c>
      <c r="K24" s="69">
        <f>SUM(K22:K23)</f>
        <v>164378.375</v>
      </c>
      <c r="L24" s="77">
        <f>IFERROR(K24/$K$26,0)</f>
        <v>0.21557183558517945</v>
      </c>
      <c r="O24" s="27"/>
    </row>
    <row r="25" spans="1:15" x14ac:dyDescent="0.55000000000000004">
      <c r="E25" s="70"/>
      <c r="F25" s="86"/>
      <c r="G25" s="70"/>
      <c r="H25" s="86"/>
      <c r="I25" s="70"/>
      <c r="J25" s="86"/>
      <c r="K25" s="70"/>
      <c r="L25" s="86"/>
      <c r="O25" s="27"/>
    </row>
    <row r="26" spans="1:15" x14ac:dyDescent="0.55000000000000004">
      <c r="B26" s="27" t="s">
        <v>0</v>
      </c>
      <c r="E26" s="69">
        <f>E6+E10</f>
        <v>313275</v>
      </c>
      <c r="G26" s="69">
        <f>G6+G10</f>
        <v>463686.25</v>
      </c>
      <c r="I26" s="69">
        <f>I6+I10</f>
        <v>613182.5</v>
      </c>
      <c r="K26" s="69">
        <f>K6+K10</f>
        <v>762522.5</v>
      </c>
      <c r="L26" s="70"/>
      <c r="N26" s="69"/>
      <c r="O26" s="27"/>
    </row>
    <row r="27" spans="1:15" x14ac:dyDescent="0.55000000000000004">
      <c r="B27" s="27" t="s">
        <v>1</v>
      </c>
      <c r="E27" s="69">
        <f>E15+E19+E24</f>
        <v>335165</v>
      </c>
      <c r="G27" s="69">
        <f>G15+G19+G24</f>
        <v>453129.9375</v>
      </c>
      <c r="I27" s="69">
        <f>I15+I19+I24</f>
        <v>555185.625</v>
      </c>
      <c r="K27" s="69">
        <f>K15+K19+K24</f>
        <v>680300.625</v>
      </c>
      <c r="L27" s="70"/>
      <c r="O27" s="27"/>
    </row>
    <row r="28" spans="1:15" x14ac:dyDescent="0.55000000000000004">
      <c r="E28" s="70"/>
      <c r="G28" s="70"/>
      <c r="I28" s="70"/>
      <c r="K28" s="69"/>
      <c r="O28" s="27"/>
    </row>
    <row r="29" spans="1:15" x14ac:dyDescent="0.55000000000000004">
      <c r="B29" s="27" t="s">
        <v>110</v>
      </c>
      <c r="E29" s="100">
        <f>E26-E27</f>
        <v>-21890</v>
      </c>
      <c r="F29" s="99"/>
      <c r="G29" s="100">
        <f>G26-G27</f>
        <v>10556.3125</v>
      </c>
      <c r="H29" s="99"/>
      <c r="I29" s="100">
        <f>I26-I27</f>
        <v>57996.875</v>
      </c>
      <c r="J29" s="99"/>
      <c r="K29" s="100">
        <f>K26-K27</f>
        <v>82221.875</v>
      </c>
      <c r="O29" s="27"/>
    </row>
    <row r="30" spans="1:15" x14ac:dyDescent="0.55000000000000004">
      <c r="E30" s="70"/>
    </row>
    <row r="31" spans="1:15" x14ac:dyDescent="0.55000000000000004">
      <c r="B31" s="27" t="s">
        <v>111</v>
      </c>
      <c r="E31" s="77">
        <f>E29/E26</f>
        <v>-6.9874710717420796E-2</v>
      </c>
      <c r="G31" s="77">
        <f>G29/G26</f>
        <v>2.2766067572631277E-2</v>
      </c>
      <c r="I31" s="77">
        <f>I29/I26</f>
        <v>9.4583382598166121E-2</v>
      </c>
      <c r="K31" s="77">
        <f>K29/K26</f>
        <v>0.10782878538010354</v>
      </c>
    </row>
    <row r="32" spans="1:15" x14ac:dyDescent="0.55000000000000004">
      <c r="E32" s="70"/>
    </row>
    <row r="33" spans="1:16" x14ac:dyDescent="0.55000000000000004">
      <c r="B33" s="27" t="s">
        <v>112</v>
      </c>
      <c r="E33" s="77">
        <f>(E26-(E15+E19))/E26</f>
        <v>0.3397294709121379</v>
      </c>
      <c r="G33" s="77">
        <f>(G26-(G15+G19))/G26</f>
        <v>0.33059760236582386</v>
      </c>
      <c r="I33" s="77">
        <f>(I26-(I15+I19))/I26</f>
        <v>0.32612517480521702</v>
      </c>
      <c r="K33" s="77">
        <f>(K26-(K15+K19))/K26</f>
        <v>0.32340062096528294</v>
      </c>
      <c r="N33" s="47"/>
      <c r="O33" s="71"/>
      <c r="P33" s="47"/>
    </row>
    <row r="34" spans="1:16" x14ac:dyDescent="0.55000000000000004">
      <c r="E34" s="101"/>
      <c r="F34" s="28"/>
      <c r="G34" s="101"/>
      <c r="I34" s="101"/>
      <c r="K34" s="101"/>
      <c r="L34" s="98"/>
      <c r="N34" s="47"/>
      <c r="O34" s="71"/>
      <c r="P34" s="47"/>
    </row>
    <row r="35" spans="1:16" x14ac:dyDescent="0.55000000000000004">
      <c r="D35" s="62"/>
      <c r="E35" s="69"/>
      <c r="G35" s="69"/>
      <c r="I35" s="69"/>
      <c r="K35" s="69"/>
      <c r="L35" s="98"/>
      <c r="N35" s="47"/>
      <c r="O35" s="71"/>
      <c r="P35" s="47"/>
    </row>
    <row r="36" spans="1:16" ht="15" hidden="1" customHeight="1" x14ac:dyDescent="0.55000000000000004">
      <c r="D36" s="68" t="s">
        <v>28</v>
      </c>
      <c r="E36" s="69"/>
      <c r="G36" s="69"/>
      <c r="I36" s="69"/>
      <c r="K36" s="69"/>
      <c r="O36" s="27"/>
    </row>
    <row r="37" spans="1:16" hidden="1" x14ac:dyDescent="0.55000000000000004">
      <c r="D37" s="68" t="s">
        <v>27</v>
      </c>
      <c r="E37" s="92"/>
      <c r="G37" s="92"/>
      <c r="I37" s="92"/>
      <c r="K37" s="92"/>
      <c r="L37" s="69"/>
      <c r="O37" s="27"/>
    </row>
    <row r="38" spans="1:16" hidden="1" x14ac:dyDescent="0.55000000000000004"/>
    <row r="39" spans="1:16" hidden="1" x14ac:dyDescent="0.55000000000000004">
      <c r="A39" s="169" t="s">
        <v>25</v>
      </c>
      <c r="B39" s="102" t="s">
        <v>35</v>
      </c>
      <c r="C39" s="102"/>
      <c r="D39" s="102"/>
      <c r="E39" s="102"/>
    </row>
    <row r="40" spans="1:16" hidden="1" x14ac:dyDescent="0.55000000000000004">
      <c r="A40" s="169"/>
      <c r="B40" s="102"/>
      <c r="C40" s="102" t="s">
        <v>40</v>
      </c>
      <c r="D40" s="102"/>
      <c r="E40" s="103"/>
      <c r="G40" s="82"/>
      <c r="O40" s="27"/>
    </row>
    <row r="41" spans="1:16" hidden="1" x14ac:dyDescent="0.55000000000000004">
      <c r="A41" s="169"/>
      <c r="B41" s="102"/>
      <c r="C41" s="102" t="s">
        <v>39</v>
      </c>
      <c r="D41" s="102"/>
      <c r="E41" s="103"/>
      <c r="G41" s="82"/>
      <c r="O41" s="27"/>
    </row>
    <row r="42" spans="1:16" hidden="1" x14ac:dyDescent="0.55000000000000004">
      <c r="A42" s="169"/>
      <c r="B42" s="102"/>
      <c r="C42" s="102"/>
      <c r="D42" s="104"/>
      <c r="E42" s="102"/>
      <c r="O42" s="27"/>
    </row>
    <row r="43" spans="1:16" hidden="1" x14ac:dyDescent="0.55000000000000004">
      <c r="A43" s="169"/>
      <c r="B43" s="102" t="s">
        <v>34</v>
      </c>
      <c r="C43" s="102"/>
      <c r="D43" s="102"/>
      <c r="E43" s="102"/>
      <c r="O43" s="27"/>
    </row>
    <row r="44" spans="1:16" hidden="1" x14ac:dyDescent="0.55000000000000004">
      <c r="A44" s="169"/>
      <c r="B44" s="102"/>
      <c r="C44" s="102" t="s">
        <v>33</v>
      </c>
      <c r="D44" s="102"/>
      <c r="E44" s="102"/>
      <c r="O44" s="27"/>
    </row>
    <row r="45" spans="1:16" hidden="1" x14ac:dyDescent="0.55000000000000004">
      <c r="A45" s="169"/>
      <c r="B45" s="102"/>
      <c r="C45" s="102" t="s">
        <v>23</v>
      </c>
      <c r="D45" s="102"/>
      <c r="E45" s="105"/>
      <c r="F45" s="77"/>
      <c r="G45" s="77"/>
      <c r="O45" s="27"/>
    </row>
    <row r="46" spans="1:16" hidden="1" x14ac:dyDescent="0.55000000000000004">
      <c r="A46" s="169"/>
      <c r="B46" s="102"/>
      <c r="C46" s="102" t="s">
        <v>24</v>
      </c>
      <c r="D46" s="102"/>
      <c r="E46" s="103"/>
      <c r="F46" s="77"/>
      <c r="G46" s="77"/>
      <c r="O46" s="27"/>
    </row>
    <row r="47" spans="1:16" hidden="1" x14ac:dyDescent="0.55000000000000004">
      <c r="A47" s="169"/>
      <c r="B47" s="102"/>
      <c r="C47" s="102"/>
      <c r="D47" s="102"/>
      <c r="E47" s="103"/>
      <c r="F47" s="77"/>
      <c r="G47" s="77"/>
      <c r="O47" s="27"/>
    </row>
    <row r="48" spans="1:16" hidden="1" x14ac:dyDescent="0.55000000000000004">
      <c r="A48" s="169"/>
      <c r="B48" s="102" t="s">
        <v>45</v>
      </c>
      <c r="C48" s="102"/>
      <c r="D48" s="102"/>
      <c r="E48" s="103"/>
      <c r="F48" s="77"/>
      <c r="G48" s="77"/>
      <c r="O48" s="27"/>
    </row>
    <row r="49" spans="1:15" hidden="1" x14ac:dyDescent="0.55000000000000004">
      <c r="A49" s="169"/>
      <c r="B49" s="102"/>
      <c r="C49" s="102"/>
      <c r="D49" s="104"/>
      <c r="E49" s="102"/>
      <c r="O49" s="27"/>
    </row>
    <row r="50" spans="1:15" hidden="1" x14ac:dyDescent="0.55000000000000004">
      <c r="A50" s="169"/>
      <c r="B50" s="102" t="s">
        <v>22</v>
      </c>
      <c r="C50" s="102"/>
      <c r="D50" s="102"/>
      <c r="E50" s="102"/>
      <c r="O50" s="27"/>
    </row>
    <row r="51" spans="1:15" hidden="1" x14ac:dyDescent="0.55000000000000004">
      <c r="A51" s="169"/>
      <c r="B51" s="102"/>
      <c r="C51" s="102" t="s">
        <v>29</v>
      </c>
      <c r="D51" s="102"/>
      <c r="E51" s="105"/>
      <c r="G51" s="77"/>
      <c r="I51" s="77"/>
      <c r="K51" s="77"/>
      <c r="O51" s="27"/>
    </row>
    <row r="52" spans="1:15" hidden="1" x14ac:dyDescent="0.55000000000000004">
      <c r="A52" s="169"/>
      <c r="B52" s="102"/>
      <c r="C52" s="102" t="s">
        <v>41</v>
      </c>
      <c r="D52" s="102"/>
      <c r="E52" s="102"/>
      <c r="O52" s="27"/>
    </row>
    <row r="53" spans="1:15" hidden="1" x14ac:dyDescent="0.55000000000000004">
      <c r="A53" s="169"/>
      <c r="B53" s="102"/>
      <c r="C53" s="102"/>
      <c r="D53" s="102"/>
      <c r="E53" s="102"/>
      <c r="O53" s="27"/>
    </row>
    <row r="54" spans="1:15" hidden="1" x14ac:dyDescent="0.55000000000000004">
      <c r="A54" s="169"/>
      <c r="B54" s="102" t="s">
        <v>36</v>
      </c>
      <c r="C54" s="102"/>
      <c r="D54" s="102"/>
      <c r="E54" s="102"/>
      <c r="O54" s="27"/>
    </row>
    <row r="55" spans="1:15" hidden="1" x14ac:dyDescent="0.55000000000000004">
      <c r="A55" s="169"/>
      <c r="B55" s="102"/>
      <c r="C55" s="102" t="s">
        <v>38</v>
      </c>
      <c r="D55" s="102"/>
      <c r="E55" s="102"/>
      <c r="G55" s="82"/>
      <c r="I55" s="82"/>
      <c r="K55" s="82"/>
      <c r="O55" s="27"/>
    </row>
    <row r="56" spans="1:15" hidden="1" x14ac:dyDescent="0.55000000000000004">
      <c r="A56" s="169"/>
      <c r="B56" s="102"/>
      <c r="C56" s="102" t="s">
        <v>37</v>
      </c>
      <c r="D56" s="102"/>
      <c r="E56" s="102"/>
      <c r="G56" s="82"/>
      <c r="I56" s="82"/>
      <c r="K56" s="82"/>
      <c r="O56" s="27"/>
    </row>
    <row r="57" spans="1:15" hidden="1" x14ac:dyDescent="0.55000000000000004">
      <c r="A57" s="169"/>
      <c r="B57" s="102"/>
      <c r="C57" s="102" t="s">
        <v>24</v>
      </c>
      <c r="D57" s="102"/>
      <c r="E57" s="102"/>
      <c r="G57" s="82"/>
      <c r="I57" s="82"/>
      <c r="K57" s="82"/>
      <c r="O57" s="27"/>
    </row>
    <row r="58" spans="1:15" hidden="1" x14ac:dyDescent="0.55000000000000004">
      <c r="A58" s="169"/>
      <c r="B58" s="102"/>
      <c r="C58" s="102"/>
      <c r="D58" s="102"/>
      <c r="E58" s="102"/>
      <c r="G58" s="82"/>
      <c r="I58" s="82"/>
      <c r="K58" s="82"/>
      <c r="O58" s="27"/>
    </row>
    <row r="59" spans="1:15" hidden="1" x14ac:dyDescent="0.55000000000000004">
      <c r="A59" s="169"/>
      <c r="B59" s="102" t="s">
        <v>46</v>
      </c>
      <c r="C59" s="102"/>
      <c r="D59" s="102"/>
      <c r="E59" s="102"/>
      <c r="G59" s="82"/>
      <c r="I59" s="82"/>
      <c r="K59" s="82"/>
      <c r="O59" s="27"/>
    </row>
    <row r="60" spans="1:15" hidden="1" x14ac:dyDescent="0.55000000000000004">
      <c r="A60" s="169"/>
      <c r="B60" s="102"/>
      <c r="C60" s="102"/>
      <c r="D60" s="102"/>
      <c r="E60" s="102"/>
      <c r="G60" s="82"/>
      <c r="I60" s="82"/>
      <c r="K60" s="82"/>
      <c r="O60" s="27"/>
    </row>
    <row r="61" spans="1:15" hidden="1" x14ac:dyDescent="0.55000000000000004">
      <c r="A61" s="169"/>
      <c r="B61" s="102" t="s">
        <v>42</v>
      </c>
      <c r="C61" s="102"/>
      <c r="D61" s="102"/>
      <c r="E61" s="106"/>
      <c r="G61" s="87"/>
      <c r="I61" s="87"/>
      <c r="K61" s="87"/>
      <c r="O61" s="27"/>
    </row>
    <row r="62" spans="1:15" x14ac:dyDescent="0.55000000000000004">
      <c r="D62" s="68"/>
      <c r="O62" s="27"/>
    </row>
    <row r="65" spans="4:11" hidden="1" x14ac:dyDescent="0.55000000000000004">
      <c r="D65" s="68" t="s">
        <v>31</v>
      </c>
      <c r="E65" s="70" t="e">
        <f>#REF!+E10-#REF!</f>
        <v>#REF!</v>
      </c>
      <c r="G65" s="70" t="e">
        <f>#REF!+G10-#REF!</f>
        <v>#REF!</v>
      </c>
      <c r="I65" s="70" t="e">
        <f>#REF!+I10-#REF!</f>
        <v>#REF!</v>
      </c>
      <c r="K65" s="70" t="e">
        <f>#REF!+K10-#REF!</f>
        <v>#REF!</v>
      </c>
    </row>
    <row r="66" spans="4:11" hidden="1" x14ac:dyDescent="0.55000000000000004">
      <c r="D66" s="68" t="s">
        <v>20</v>
      </c>
      <c r="E66" s="69" t="e">
        <f>E19+#REF!-#REF!</f>
        <v>#REF!</v>
      </c>
      <c r="G66" s="69" t="e">
        <f>G19+#REF!-#REF!</f>
        <v>#REF!</v>
      </c>
      <c r="I66" s="69" t="e">
        <f>I19+#REF!-#REF!</f>
        <v>#REF!</v>
      </c>
      <c r="K66" s="69" t="e">
        <f>K19+#REF!-#REF!</f>
        <v>#REF!</v>
      </c>
    </row>
    <row r="67" spans="4:11" hidden="1" x14ac:dyDescent="0.55000000000000004"/>
    <row r="68" spans="4:11" hidden="1" x14ac:dyDescent="0.55000000000000004"/>
    <row r="69" spans="4:11" hidden="1" x14ac:dyDescent="0.55000000000000004">
      <c r="D69" s="68" t="s">
        <v>34</v>
      </c>
    </row>
    <row r="70" spans="4:11" hidden="1" x14ac:dyDescent="0.55000000000000004">
      <c r="D70" s="68" t="s">
        <v>35</v>
      </c>
    </row>
    <row r="71" spans="4:11" hidden="1" x14ac:dyDescent="0.55000000000000004">
      <c r="D71" s="68" t="s">
        <v>36</v>
      </c>
    </row>
    <row r="72" spans="4:11" hidden="1" x14ac:dyDescent="0.55000000000000004">
      <c r="D72" s="68" t="s">
        <v>22</v>
      </c>
    </row>
    <row r="73" spans="4:11" hidden="1" x14ac:dyDescent="0.55000000000000004">
      <c r="D73" s="68" t="s">
        <v>32</v>
      </c>
    </row>
    <row r="74" spans="4:11" hidden="1" x14ac:dyDescent="0.55000000000000004"/>
    <row r="75" spans="4:11" hidden="1" x14ac:dyDescent="0.55000000000000004"/>
    <row r="76" spans="4:11" hidden="1" x14ac:dyDescent="0.55000000000000004">
      <c r="D76" s="68" t="s">
        <v>52</v>
      </c>
    </row>
    <row r="77" spans="4:11" hidden="1" x14ac:dyDescent="0.55000000000000004">
      <c r="D77" s="68" t="s">
        <v>53</v>
      </c>
    </row>
    <row r="78" spans="4:11" hidden="1" x14ac:dyDescent="0.55000000000000004"/>
    <row r="79" spans="4:11" hidden="1" x14ac:dyDescent="0.55000000000000004">
      <c r="D79" s="68" t="s">
        <v>54</v>
      </c>
    </row>
    <row r="80" spans="4:11" hidden="1" x14ac:dyDescent="0.55000000000000004">
      <c r="D80" s="68" t="s">
        <v>55</v>
      </c>
    </row>
    <row r="81" spans="4:11" hidden="1" x14ac:dyDescent="0.55000000000000004"/>
    <row r="82" spans="4:11" hidden="1" x14ac:dyDescent="0.55000000000000004">
      <c r="D82" s="68" t="s">
        <v>56</v>
      </c>
    </row>
    <row r="83" spans="4:11" hidden="1" x14ac:dyDescent="0.55000000000000004"/>
    <row r="84" spans="4:11" hidden="1" x14ac:dyDescent="0.55000000000000004">
      <c r="E84" s="70" t="e">
        <f>#REF!+#REF!+(#REF!/2)</f>
        <v>#REF!</v>
      </c>
      <c r="G84" s="70" t="e">
        <f>#REF!+#REF!+(#REF!)</f>
        <v>#REF!</v>
      </c>
      <c r="I84" s="70" t="e">
        <f>#REF!+#REF!+(#REF!)</f>
        <v>#REF!</v>
      </c>
      <c r="K84" s="70" t="e">
        <f>#REF!+#REF!+(#REF!)</f>
        <v>#REF!</v>
      </c>
    </row>
    <row r="85" spans="4:11" hidden="1" x14ac:dyDescent="0.55000000000000004"/>
    <row r="86" spans="4:11" hidden="1" x14ac:dyDescent="0.55000000000000004">
      <c r="D86" s="68" t="s">
        <v>44</v>
      </c>
      <c r="E86" s="70" t="e">
        <f>#REF!+#REF!</f>
        <v>#REF!</v>
      </c>
      <c r="F86" s="70"/>
      <c r="G86" s="70" t="e">
        <f>#REF!+#REF!</f>
        <v>#REF!</v>
      </c>
      <c r="H86" s="70"/>
      <c r="I86" s="70" t="e">
        <f>#REF!+#REF!</f>
        <v>#REF!</v>
      </c>
      <c r="J86" s="70"/>
      <c r="K86" s="70" t="e">
        <f>#REF!+#REF!</f>
        <v>#REF!</v>
      </c>
    </row>
    <row r="87" spans="4:11" hidden="1" x14ac:dyDescent="0.55000000000000004">
      <c r="D87" s="68" t="s">
        <v>30</v>
      </c>
      <c r="E87" s="69">
        <f>E6+E10</f>
        <v>313275</v>
      </c>
      <c r="F87" s="69"/>
      <c r="G87" s="69">
        <f>G6+G10</f>
        <v>463686.25</v>
      </c>
      <c r="H87" s="69"/>
      <c r="I87" s="69">
        <f>I6+I10</f>
        <v>613182.5</v>
      </c>
      <c r="J87" s="69"/>
      <c r="K87" s="69">
        <f>K6+K10</f>
        <v>762522.5</v>
      </c>
    </row>
    <row r="88" spans="4:11" hidden="1" x14ac:dyDescent="0.55000000000000004"/>
    <row r="89" spans="4:11" hidden="1" x14ac:dyDescent="0.55000000000000004">
      <c r="D89" s="68" t="s">
        <v>44</v>
      </c>
      <c r="E89" s="70" t="e">
        <f>#REF!+#REF!</f>
        <v>#REF!</v>
      </c>
      <c r="G89" s="70" t="e">
        <f>#REF!+#REF!</f>
        <v>#REF!</v>
      </c>
      <c r="I89" s="70" t="e">
        <f>#REF!+#REF!</f>
        <v>#REF!</v>
      </c>
      <c r="K89" s="70" t="e">
        <f>#REF!+#REF!</f>
        <v>#REF!</v>
      </c>
    </row>
    <row r="90" spans="4:11" hidden="1" x14ac:dyDescent="0.55000000000000004">
      <c r="D90" s="68" t="s">
        <v>30</v>
      </c>
      <c r="E90" s="69">
        <f>E15+E19</f>
        <v>206846.25</v>
      </c>
      <c r="G90" s="69">
        <f>G15+G19</f>
        <v>310392.6875</v>
      </c>
      <c r="I90" s="69">
        <f>I15+I19</f>
        <v>413208.25</v>
      </c>
      <c r="K90" s="69">
        <f>K15+K19</f>
        <v>515922.25000000006</v>
      </c>
    </row>
    <row r="91" spans="4:11" hidden="1" x14ac:dyDescent="0.55000000000000004"/>
    <row r="92" spans="4:11" hidden="1" x14ac:dyDescent="0.55000000000000004"/>
    <row r="93" spans="4:11" hidden="1" x14ac:dyDescent="0.55000000000000004">
      <c r="D93" s="68" t="s">
        <v>61</v>
      </c>
      <c r="E93" s="70" t="e">
        <f>E86+E87-E89-E90</f>
        <v>#REF!</v>
      </c>
      <c r="G93" s="70" t="e">
        <f>G86+G87-G89-G90</f>
        <v>#REF!</v>
      </c>
      <c r="I93" s="70" t="e">
        <f>I86+I87-I89-I90</f>
        <v>#REF!</v>
      </c>
      <c r="K93" s="70" t="e">
        <f>K86+K87-K89-K90</f>
        <v>#REF!</v>
      </c>
    </row>
    <row r="99" spans="8:11" hidden="1" x14ac:dyDescent="0.55000000000000004">
      <c r="H99" s="27" t="s">
        <v>58</v>
      </c>
      <c r="I99" s="27" t="s">
        <v>59</v>
      </c>
      <c r="J99" s="27" t="s">
        <v>60</v>
      </c>
      <c r="K99" s="82"/>
    </row>
    <row r="100" spans="8:11" hidden="1" x14ac:dyDescent="0.55000000000000004">
      <c r="H100" s="27" t="s">
        <v>17</v>
      </c>
      <c r="I100" s="70">
        <f>E26*0.82</f>
        <v>256885.49999999997</v>
      </c>
      <c r="J100" s="70">
        <f>E26*0.18</f>
        <v>56389.5</v>
      </c>
      <c r="K100" s="82"/>
    </row>
    <row r="101" spans="8:11" hidden="1" x14ac:dyDescent="0.55000000000000004">
      <c r="H101" s="27" t="s">
        <v>18</v>
      </c>
      <c r="I101" s="70">
        <f>I100+K10</f>
        <v>646535.5</v>
      </c>
      <c r="J101" s="70">
        <f>J100+K6</f>
        <v>429262</v>
      </c>
    </row>
    <row r="102" spans="8:11" hidden="1" x14ac:dyDescent="0.55000000000000004"/>
    <row r="103" spans="8:11" hidden="1" x14ac:dyDescent="0.55000000000000004">
      <c r="I103" s="70">
        <v>3167250</v>
      </c>
      <c r="J103" s="70">
        <v>695250</v>
      </c>
      <c r="K103" s="70">
        <f>SUM(I103:J103)</f>
        <v>3862500</v>
      </c>
    </row>
    <row r="104" spans="8:11" hidden="1" x14ac:dyDescent="0.55000000000000004">
      <c r="H104" s="77"/>
      <c r="I104" s="107">
        <v>3209750</v>
      </c>
      <c r="J104" s="107">
        <v>1524427.734375</v>
      </c>
      <c r="K104" s="70">
        <f>SUM(I104:J104)</f>
        <v>4734177.734375</v>
      </c>
    </row>
    <row r="105" spans="8:11" hidden="1" x14ac:dyDescent="0.55000000000000004">
      <c r="H105" s="77"/>
      <c r="I105" s="77"/>
      <c r="J105" s="77"/>
      <c r="K105" s="77"/>
    </row>
    <row r="106" spans="8:11" hidden="1" x14ac:dyDescent="0.55000000000000004">
      <c r="H106" s="77"/>
      <c r="I106" s="77">
        <f>I103/K103</f>
        <v>0.82</v>
      </c>
      <c r="J106" s="77">
        <f>J103/K103</f>
        <v>0.18</v>
      </c>
      <c r="K106" s="77"/>
    </row>
    <row r="107" spans="8:11" hidden="1" x14ac:dyDescent="0.55000000000000004">
      <c r="H107" s="77"/>
      <c r="I107" s="77">
        <f>I104/K104</f>
        <v>0.67799524650160758</v>
      </c>
      <c r="J107" s="77">
        <f>J104/K104</f>
        <v>0.32200475349839247</v>
      </c>
      <c r="K107" s="77"/>
    </row>
  </sheetData>
  <sheetProtection algorithmName="SHA-512" hashValue="1fP50Y+q/zerp1DFfiFMF8GiNaleVjYi/aiDUbI2Hw3wFaIyjIbiMj87s2/6I7vPmA4NdkI3OezTxGSmizxdFA==" saltValue="0jStUbNiDci1UnQvEnA9QQ==" spinCount="100000" sheet="1" objects="1" scenarios="1"/>
  <mergeCells count="8">
    <mergeCell ref="A39:A61"/>
    <mergeCell ref="I1:J1"/>
    <mergeCell ref="K1:L1"/>
    <mergeCell ref="A21:A24"/>
    <mergeCell ref="E1:F1"/>
    <mergeCell ref="G1:H1"/>
    <mergeCell ref="A3:A10"/>
    <mergeCell ref="A12:A19"/>
  </mergeCells>
  <pageMargins left="0.7" right="0.7" top="0.75" bottom="0.75" header="0.3" footer="0.3"/>
  <pageSetup scale="48" orientation="landscape" r:id="rId1"/>
  <ignoredErrors>
    <ignoredError sqref="E20 E28:K29 E24 E16 F26:F27 H26:H27 J26:J27 F30:K30 F12:K12 I6 G6 E6 F6 H6 J6 E10:J10 F16:K16 F15:K15 F18 F19:K19 K24 I24 G24 F20:K20 F21:K21 F24 H24 J24 F17 H17 J17 F14 H14 J14 H18 J18 F23 F22 H22 J22 H23 J2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5:K53"/>
  <sheetViews>
    <sheetView showGridLines="0" zoomScale="80" zoomScaleNormal="80" workbookViewId="0">
      <selection activeCell="S43" sqref="S43"/>
    </sheetView>
  </sheetViews>
  <sheetFormatPr defaultColWidth="9.1328125" defaultRowHeight="14.25" x14ac:dyDescent="0.45"/>
  <cols>
    <col min="2" max="2" width="30" customWidth="1"/>
  </cols>
  <sheetData>
    <row r="25" spans="4:4" x14ac:dyDescent="0.45">
      <c r="D25" s="15"/>
    </row>
    <row r="27" spans="4:4" s="14" customFormat="1" x14ac:dyDescent="0.45"/>
    <row r="43" spans="3:11" x14ac:dyDescent="0.45">
      <c r="K43" s="139" t="s">
        <v>155</v>
      </c>
    </row>
    <row r="48" spans="3:11" x14ac:dyDescent="0.45">
      <c r="C48" s="182" t="s">
        <v>12</v>
      </c>
      <c r="D48" s="182"/>
      <c r="E48" s="182"/>
      <c r="F48" s="182"/>
    </row>
    <row r="49" spans="2:6" x14ac:dyDescent="0.45">
      <c r="C49" s="14">
        <v>1</v>
      </c>
      <c r="D49" s="14">
        <v>2</v>
      </c>
      <c r="E49" s="14">
        <v>3</v>
      </c>
      <c r="F49" s="14">
        <v>4</v>
      </c>
    </row>
    <row r="50" spans="2:6" x14ac:dyDescent="0.45">
      <c r="B50" s="10" t="s">
        <v>85</v>
      </c>
      <c r="C50" s="12">
        <f>'Core Calculations'!M7</f>
        <v>3.84</v>
      </c>
      <c r="D50" s="12">
        <f>'Core Calculations'!Y7</f>
        <v>7.4879999999999969</v>
      </c>
      <c r="E50" s="12">
        <f>'Core Calculations'!AK7</f>
        <v>11.135999999999999</v>
      </c>
      <c r="F50" s="12">
        <f>'Core Calculations'!AW7</f>
        <v>14.78400000000001</v>
      </c>
    </row>
    <row r="51" spans="2:6" x14ac:dyDescent="0.45">
      <c r="B51" s="10" t="s">
        <v>51</v>
      </c>
      <c r="C51" s="12">
        <f>'Core Calculations'!M8</f>
        <v>3.6</v>
      </c>
      <c r="D51" s="12">
        <f>'Core Calculations'!Y8</f>
        <v>7.0199999999999978</v>
      </c>
      <c r="E51" s="12">
        <f>'Core Calculations'!AK8</f>
        <v>10.44</v>
      </c>
      <c r="F51" s="12">
        <f>'Core Calculations'!AW8</f>
        <v>13.860000000000008</v>
      </c>
    </row>
    <row r="52" spans="2:6" x14ac:dyDescent="0.45">
      <c r="B52" s="10" t="s">
        <v>65</v>
      </c>
      <c r="C52" s="12">
        <f>'Core Calculations'!M5</f>
        <v>12</v>
      </c>
      <c r="D52" s="12">
        <f>'Core Calculations'!Y5</f>
        <v>23.399999999999991</v>
      </c>
      <c r="E52" s="12">
        <f>'Core Calculations'!AK5</f>
        <v>34.799999999999997</v>
      </c>
      <c r="F52" s="12">
        <f>'Core Calculations'!AW5</f>
        <v>46.200000000000031</v>
      </c>
    </row>
    <row r="53" spans="2:6" x14ac:dyDescent="0.45">
      <c r="B53" s="10"/>
      <c r="C53" s="12"/>
      <c r="D53" s="12"/>
      <c r="E53" s="12"/>
      <c r="F53" s="12"/>
    </row>
  </sheetData>
  <sheetProtection algorithmName="SHA-512" hashValue="abkqkt3dxRJEsPMLJEOSocUnf0jZfc7YMzItCKsChlympbM3czZ9CDwCHqkFpfbGtnOpUQDab6dd4zIdDUYB8g==" saltValue="/H/QCBUB/asA/b4bA/jcSA==" spinCount="100000" sheet="1" objects="1" scenarios="1"/>
  <mergeCells count="1">
    <mergeCell ref="C48:F4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3:AX45"/>
  <sheetViews>
    <sheetView showGridLines="0" topLeftCell="C1" zoomScale="80" zoomScaleNormal="80" workbookViewId="0">
      <selection activeCell="W44" sqref="W44"/>
    </sheetView>
  </sheetViews>
  <sheetFormatPr defaultColWidth="9.1328125" defaultRowHeight="16.5" x14ac:dyDescent="0.6"/>
  <cols>
    <col min="1" max="2" width="9.1328125" style="25"/>
    <col min="3" max="9" width="9.265625" style="25" bestFit="1" customWidth="1"/>
    <col min="10" max="10" width="25.59765625" style="25" customWidth="1"/>
    <col min="11" max="11" width="10.265625" style="25" bestFit="1" customWidth="1"/>
    <col min="12" max="47" width="9.265625" style="25" bestFit="1" customWidth="1"/>
    <col min="48" max="50" width="10.3984375" style="25" bestFit="1" customWidth="1"/>
    <col min="51" max="16384" width="9.1328125" style="25"/>
  </cols>
  <sheetData>
    <row r="33" spans="2:50" x14ac:dyDescent="0.6">
      <c r="D33" s="26"/>
      <c r="E33" s="26"/>
      <c r="F33" s="26"/>
      <c r="G33" s="26"/>
      <c r="H33" s="26"/>
    </row>
    <row r="36" spans="2:50" ht="18.75" x14ac:dyDescent="0.7">
      <c r="I36" s="183" t="s">
        <v>87</v>
      </c>
      <c r="J36" s="184">
        <f>IF((-MIN('Core Calculations'!B27:AW27))&gt;0,(-MIN('Core Calculations'!B27:AW27)),0)</f>
        <v>23652.187500000022</v>
      </c>
    </row>
    <row r="37" spans="2:50" x14ac:dyDescent="0.6">
      <c r="R37" s="139" t="s">
        <v>155</v>
      </c>
    </row>
    <row r="45" spans="2:50" x14ac:dyDescent="0.6">
      <c r="B45" s="108" t="str">
        <f>'Core Calculations'!A27</f>
        <v>Monthly Cumulative Cash Flow</v>
      </c>
      <c r="C45" s="109">
        <f>'Core Calculations'!B27</f>
        <v>-3425.3125</v>
      </c>
      <c r="D45" s="109">
        <f>'Core Calculations'!C27</f>
        <v>-6582.7083333333358</v>
      </c>
      <c r="E45" s="109">
        <f>'Core Calculations'!D27</f>
        <v>-9472.1875000000036</v>
      </c>
      <c r="F45" s="109">
        <f>'Core Calculations'!E27</f>
        <v>-12093.750000000004</v>
      </c>
      <c r="G45" s="109">
        <f>'Core Calculations'!F27</f>
        <v>-14447.395833333339</v>
      </c>
      <c r="H45" s="109">
        <f>'Core Calculations'!G27</f>
        <v>-16533.125000000007</v>
      </c>
      <c r="I45" s="109">
        <f>'Core Calculations'!H27</f>
        <v>-18278.020833333343</v>
      </c>
      <c r="J45" s="109">
        <f>'Core Calculations'!I27</f>
        <v>-19682.083333333343</v>
      </c>
      <c r="K45" s="109">
        <f>'Core Calculations'!J27</f>
        <v>-20745.312500000011</v>
      </c>
      <c r="L45" s="109">
        <f>'Core Calculations'!K27</f>
        <v>-21467.708333333347</v>
      </c>
      <c r="M45" s="109">
        <f>'Core Calculations'!L27</f>
        <v>-21849.270833333347</v>
      </c>
      <c r="N45" s="109">
        <f>'Core Calculations'!M27</f>
        <v>-21890.000000000015</v>
      </c>
      <c r="O45" s="109">
        <f>'Core Calculations'!N27</f>
        <v>-22804.83333333335</v>
      </c>
      <c r="P45" s="109">
        <f>'Core Calculations'!O27</f>
        <v>-23392.229166666686</v>
      </c>
      <c r="Q45" s="109">
        <f>'Core Calculations'!P27</f>
        <v>-23652.187500000022</v>
      </c>
      <c r="R45" s="109">
        <f>'Core Calculations'!Q27</f>
        <v>-23584.708333333358</v>
      </c>
      <c r="S45" s="109">
        <f>'Core Calculations'!R27</f>
        <v>-23189.791666666693</v>
      </c>
      <c r="T45" s="109">
        <f>'Core Calculations'!S27</f>
        <v>-22467.437500000022</v>
      </c>
      <c r="U45" s="109">
        <f>'Core Calculations'!T27</f>
        <v>-21421.291666666686</v>
      </c>
      <c r="V45" s="109">
        <f>'Core Calculations'!U27</f>
        <v>-20051.354166666679</v>
      </c>
      <c r="W45" s="109">
        <f>'Core Calculations'!V27</f>
        <v>-18357.625000000015</v>
      </c>
      <c r="X45" s="109">
        <f>'Core Calculations'!W27</f>
        <v>-16340.104166666686</v>
      </c>
      <c r="Y45" s="109">
        <f>'Core Calculations'!X27</f>
        <v>-13998.791666666686</v>
      </c>
      <c r="Z45" s="109">
        <f>'Core Calculations'!Y27</f>
        <v>-11333.687500000022</v>
      </c>
      <c r="AA45" s="109">
        <f>'Core Calculations'!Z27</f>
        <v>-8281.4687500000218</v>
      </c>
      <c r="AB45" s="109">
        <f>'Core Calculations'!AA27</f>
        <v>-4905.4583333333503</v>
      </c>
      <c r="AC45" s="109">
        <f>'Core Calculations'!AB27</f>
        <v>-1205.6562500000146</v>
      </c>
      <c r="AD45" s="109">
        <f>'Core Calculations'!AC27</f>
        <v>2817.9374999999854</v>
      </c>
      <c r="AE45" s="109">
        <f>'Core Calculations'!AD27</f>
        <v>7165.3229166666497</v>
      </c>
      <c r="AF45" s="109">
        <f>'Core Calculations'!AE27</f>
        <v>11836.499999999985</v>
      </c>
      <c r="AG45" s="109">
        <f>'Core Calculations'!AF27</f>
        <v>16831.468749999985</v>
      </c>
      <c r="AH45" s="109">
        <f>'Core Calculations'!AG27</f>
        <v>22150.229166666642</v>
      </c>
      <c r="AI45" s="109">
        <f>'Core Calculations'!AH27</f>
        <v>27792.781249999978</v>
      </c>
      <c r="AJ45" s="109">
        <f>'Core Calculations'!AI27</f>
        <v>33759.124999999985</v>
      </c>
      <c r="AK45" s="109">
        <f>'Core Calculations'!AJ27</f>
        <v>40049.26041666665</v>
      </c>
      <c r="AL45" s="109">
        <f>'Core Calculations'!AK27</f>
        <v>46663.187499999985</v>
      </c>
      <c r="AM45" s="109">
        <f>'Core Calculations'!AL27</f>
        <v>51734.156249999978</v>
      </c>
      <c r="AN45" s="109">
        <f>'Core Calculations'!AM27</f>
        <v>57128.91666666665</v>
      </c>
      <c r="AO45" s="109">
        <f>'Core Calculations'!AN27</f>
        <v>62847.468749999985</v>
      </c>
      <c r="AP45" s="109">
        <f>'Core Calculations'!AO27</f>
        <v>68889.8125</v>
      </c>
      <c r="AQ45" s="109">
        <f>'Core Calculations'!AP27</f>
        <v>75255.947916666657</v>
      </c>
      <c r="AR45" s="109">
        <f>'Core Calculations'!AQ27</f>
        <v>81945.875</v>
      </c>
      <c r="AS45" s="109">
        <f>'Core Calculations'!AR27</f>
        <v>88959.59375</v>
      </c>
      <c r="AT45" s="109">
        <f>'Core Calculations'!AS27</f>
        <v>96297.104166666657</v>
      </c>
      <c r="AU45" s="109">
        <f>'Core Calculations'!AT27</f>
        <v>103958.40625</v>
      </c>
      <c r="AV45" s="109">
        <f>'Core Calculations'!AU27</f>
        <v>111943.5</v>
      </c>
      <c r="AW45" s="109">
        <f>'Core Calculations'!AV27</f>
        <v>120252.38541666666</v>
      </c>
      <c r="AX45" s="109">
        <f>'Core Calculations'!AW27</f>
        <v>128885.0625</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Y58"/>
  <sheetViews>
    <sheetView showGridLines="0" zoomScale="80" zoomScaleNormal="80" workbookViewId="0">
      <pane xSplit="1" ySplit="2" topLeftCell="B3" activePane="bottomRight" state="frozen"/>
      <selection pane="topRight" activeCell="B1" sqref="B1"/>
      <selection pane="bottomLeft" activeCell="A3" sqref="A3"/>
      <selection pane="bottomRight" activeCell="E61" sqref="E61"/>
    </sheetView>
  </sheetViews>
  <sheetFormatPr defaultColWidth="9.1328125" defaultRowHeight="14.25" x14ac:dyDescent="0.45"/>
  <cols>
    <col min="1" max="1" width="77.86328125" style="1" customWidth="1"/>
    <col min="2" max="49" width="12.73046875" style="1" customWidth="1"/>
    <col min="50" max="50" width="10.86328125" style="1" bestFit="1" customWidth="1"/>
    <col min="51" max="16384" width="9.1328125" style="1"/>
  </cols>
  <sheetData>
    <row r="1" spans="1:51" ht="18" x14ac:dyDescent="0.55000000000000004">
      <c r="B1" s="171" t="s">
        <v>13</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row>
    <row r="2" spans="1:51" hidden="1" x14ac:dyDescent="0.45">
      <c r="A2" s="1" t="s">
        <v>13</v>
      </c>
      <c r="B2" s="2">
        <v>1</v>
      </c>
      <c r="C2" s="2">
        <v>2</v>
      </c>
      <c r="D2" s="2">
        <v>3</v>
      </c>
      <c r="E2" s="2">
        <v>4</v>
      </c>
      <c r="F2" s="2">
        <v>5</v>
      </c>
      <c r="G2" s="2">
        <v>6</v>
      </c>
      <c r="H2" s="2">
        <v>7</v>
      </c>
      <c r="I2" s="2">
        <v>8</v>
      </c>
      <c r="J2" s="2">
        <v>9</v>
      </c>
      <c r="K2" s="2">
        <v>10</v>
      </c>
      <c r="L2" s="2">
        <v>11</v>
      </c>
      <c r="M2" s="2">
        <v>12</v>
      </c>
      <c r="N2" s="2">
        <v>13</v>
      </c>
      <c r="O2" s="2">
        <v>14</v>
      </c>
      <c r="P2" s="2">
        <v>15</v>
      </c>
      <c r="Q2" s="2">
        <v>16</v>
      </c>
      <c r="R2" s="2">
        <v>17</v>
      </c>
      <c r="S2" s="2">
        <v>18</v>
      </c>
      <c r="T2" s="2">
        <v>19</v>
      </c>
      <c r="U2" s="2">
        <v>20</v>
      </c>
      <c r="V2" s="2">
        <v>21</v>
      </c>
      <c r="W2" s="2">
        <v>22</v>
      </c>
      <c r="X2" s="2">
        <v>23</v>
      </c>
      <c r="Y2" s="2">
        <v>24</v>
      </c>
      <c r="Z2" s="2">
        <v>25</v>
      </c>
      <c r="AA2" s="2">
        <v>26</v>
      </c>
      <c r="AB2" s="2">
        <v>27</v>
      </c>
      <c r="AC2" s="2">
        <v>28</v>
      </c>
      <c r="AD2" s="2">
        <v>29</v>
      </c>
      <c r="AE2" s="2">
        <v>30</v>
      </c>
      <c r="AF2" s="2">
        <v>31</v>
      </c>
      <c r="AG2" s="2">
        <v>32</v>
      </c>
      <c r="AH2" s="2">
        <v>33</v>
      </c>
      <c r="AI2" s="2">
        <v>34</v>
      </c>
      <c r="AJ2" s="2">
        <v>35</v>
      </c>
      <c r="AK2" s="2">
        <v>36</v>
      </c>
      <c r="AL2" s="2">
        <v>37</v>
      </c>
      <c r="AM2" s="2">
        <v>38</v>
      </c>
      <c r="AN2" s="2">
        <v>39</v>
      </c>
      <c r="AO2" s="2">
        <v>40</v>
      </c>
      <c r="AP2" s="2">
        <v>41</v>
      </c>
      <c r="AQ2" s="2">
        <v>42</v>
      </c>
      <c r="AR2" s="2">
        <v>43</v>
      </c>
      <c r="AS2" s="2">
        <v>44</v>
      </c>
      <c r="AT2" s="2">
        <v>45</v>
      </c>
      <c r="AU2" s="2">
        <v>46</v>
      </c>
      <c r="AV2" s="2">
        <v>47</v>
      </c>
      <c r="AW2" s="2">
        <v>48</v>
      </c>
    </row>
    <row r="3" spans="1:51" hidden="1" x14ac:dyDescent="0.45"/>
    <row r="4" spans="1:51" hidden="1" x14ac:dyDescent="0.45">
      <c r="A4" s="1" t="s">
        <v>66</v>
      </c>
      <c r="B4" s="6">
        <f>'Key Variables'!$G$3/12</f>
        <v>1</v>
      </c>
      <c r="C4" s="6">
        <f>'Key Variables'!$G$3/12</f>
        <v>1</v>
      </c>
      <c r="D4" s="5">
        <f>'Key Variables'!$G$3/12</f>
        <v>1</v>
      </c>
      <c r="E4" s="5">
        <f>'Key Variables'!$G$3/12</f>
        <v>1</v>
      </c>
      <c r="F4" s="5">
        <f>'Key Variables'!$G$3/12</f>
        <v>1</v>
      </c>
      <c r="G4" s="5">
        <f>'Key Variables'!$G$3/12</f>
        <v>1</v>
      </c>
      <c r="H4" s="5">
        <f>'Key Variables'!$G$3/12</f>
        <v>1</v>
      </c>
      <c r="I4" s="5">
        <f>'Key Variables'!$G$3/12</f>
        <v>1</v>
      </c>
      <c r="J4" s="5">
        <f>'Key Variables'!$G$3/12</f>
        <v>1</v>
      </c>
      <c r="K4" s="5">
        <f>'Key Variables'!$G$3/12</f>
        <v>1</v>
      </c>
      <c r="L4" s="5">
        <f>'Key Variables'!$G$3/12</f>
        <v>1</v>
      </c>
      <c r="M4" s="5">
        <f>'Key Variables'!$G$3/12</f>
        <v>1</v>
      </c>
      <c r="N4" s="5">
        <f>'Key Variables'!$H$3/12</f>
        <v>1</v>
      </c>
      <c r="O4" s="5">
        <f>'Key Variables'!$H$3/12</f>
        <v>1</v>
      </c>
      <c r="P4" s="5">
        <f>'Key Variables'!$H$3/12</f>
        <v>1</v>
      </c>
      <c r="Q4" s="5">
        <f>'Key Variables'!$H$3/12</f>
        <v>1</v>
      </c>
      <c r="R4" s="5">
        <f>'Key Variables'!$H$3/12</f>
        <v>1</v>
      </c>
      <c r="S4" s="5">
        <f>'Key Variables'!$H$3/12</f>
        <v>1</v>
      </c>
      <c r="T4" s="5">
        <f>'Key Variables'!$H$3/12</f>
        <v>1</v>
      </c>
      <c r="U4" s="5">
        <f>'Key Variables'!$H$3/12</f>
        <v>1</v>
      </c>
      <c r="V4" s="5">
        <f>'Key Variables'!$H$3/12</f>
        <v>1</v>
      </c>
      <c r="W4" s="5">
        <f>'Key Variables'!$H$3/12</f>
        <v>1</v>
      </c>
      <c r="X4" s="5">
        <f>'Key Variables'!$H$3/12</f>
        <v>1</v>
      </c>
      <c r="Y4" s="5">
        <f>'Key Variables'!$H$3/12</f>
        <v>1</v>
      </c>
      <c r="Z4" s="5">
        <f>'Key Variables'!$J$3/12</f>
        <v>1</v>
      </c>
      <c r="AA4" s="5">
        <f>'Key Variables'!$J$3/12</f>
        <v>1</v>
      </c>
      <c r="AB4" s="5">
        <f>'Key Variables'!$J$3/12</f>
        <v>1</v>
      </c>
      <c r="AC4" s="5">
        <f>'Key Variables'!$J$3/12</f>
        <v>1</v>
      </c>
      <c r="AD4" s="5">
        <f>'Key Variables'!$J$3/12</f>
        <v>1</v>
      </c>
      <c r="AE4" s="5">
        <f>'Key Variables'!$J$3/12</f>
        <v>1</v>
      </c>
      <c r="AF4" s="5">
        <f>'Key Variables'!$J$3/12</f>
        <v>1</v>
      </c>
      <c r="AG4" s="5">
        <f>'Key Variables'!$J$3/12</f>
        <v>1</v>
      </c>
      <c r="AH4" s="5">
        <f>'Key Variables'!$J$3/12</f>
        <v>1</v>
      </c>
      <c r="AI4" s="5">
        <f>'Key Variables'!$J$3/12</f>
        <v>1</v>
      </c>
      <c r="AJ4" s="5">
        <f>'Key Variables'!$J$3/12</f>
        <v>1</v>
      </c>
      <c r="AK4" s="21">
        <f>'Key Variables'!$J$3/12</f>
        <v>1</v>
      </c>
      <c r="AL4" s="21">
        <f>'Key Variables'!$K$3/12</f>
        <v>1</v>
      </c>
      <c r="AM4" s="5">
        <f>'Key Variables'!$K$3/12</f>
        <v>1</v>
      </c>
      <c r="AN4" s="5">
        <f>'Key Variables'!$K$3/12</f>
        <v>1</v>
      </c>
      <c r="AO4" s="5">
        <f>'Key Variables'!$K$3/12</f>
        <v>1</v>
      </c>
      <c r="AP4" s="5">
        <f>'Key Variables'!$K$3/12</f>
        <v>1</v>
      </c>
      <c r="AQ4" s="5">
        <f>'Key Variables'!$K$3/12</f>
        <v>1</v>
      </c>
      <c r="AR4" s="5">
        <f>'Key Variables'!$K$3/12</f>
        <v>1</v>
      </c>
      <c r="AS4" s="5">
        <f>'Key Variables'!$K$3/12</f>
        <v>1</v>
      </c>
      <c r="AT4" s="5">
        <f>'Key Variables'!$K$3/12</f>
        <v>1</v>
      </c>
      <c r="AU4" s="5">
        <f>'Key Variables'!$K$3/12</f>
        <v>1</v>
      </c>
      <c r="AV4" s="5">
        <f>'Key Variables'!$K$3/12</f>
        <v>1</v>
      </c>
      <c r="AW4" s="5">
        <f>'Key Variables'!$K$3/12</f>
        <v>1</v>
      </c>
    </row>
    <row r="5" spans="1:51" hidden="1" x14ac:dyDescent="0.45">
      <c r="A5" s="10" t="s">
        <v>67</v>
      </c>
      <c r="B5" s="19">
        <f>B4</f>
        <v>1</v>
      </c>
      <c r="C5" s="19">
        <f t="shared" ref="C5:M5" si="0">B5+C4</f>
        <v>2</v>
      </c>
      <c r="D5" s="19">
        <f t="shared" si="0"/>
        <v>3</v>
      </c>
      <c r="E5" s="19">
        <f t="shared" si="0"/>
        <v>4</v>
      </c>
      <c r="F5" s="19">
        <f t="shared" si="0"/>
        <v>5</v>
      </c>
      <c r="G5" s="19">
        <f t="shared" si="0"/>
        <v>6</v>
      </c>
      <c r="H5" s="3">
        <f t="shared" si="0"/>
        <v>7</v>
      </c>
      <c r="I5" s="17">
        <f t="shared" si="0"/>
        <v>8</v>
      </c>
      <c r="J5" s="3">
        <f t="shared" si="0"/>
        <v>9</v>
      </c>
      <c r="K5" s="3">
        <f t="shared" si="0"/>
        <v>10</v>
      </c>
      <c r="L5" s="3">
        <f t="shared" si="0"/>
        <v>11</v>
      </c>
      <c r="M5" s="19">
        <f t="shared" si="0"/>
        <v>12</v>
      </c>
      <c r="N5" s="3">
        <f>M5+N4-(B4*'Key Variables'!$C$21)</f>
        <v>12.95</v>
      </c>
      <c r="O5" s="3">
        <f>N5+O4-(C4*'Key Variables'!$C$21)</f>
        <v>13.899999999999999</v>
      </c>
      <c r="P5" s="3">
        <f>O5+P4-(D4*'Key Variables'!$C$21)</f>
        <v>14.849999999999998</v>
      </c>
      <c r="Q5" s="3">
        <f>P5+Q4-(E4*'Key Variables'!$C$21)</f>
        <v>15.799999999999997</v>
      </c>
      <c r="R5" s="3">
        <f>Q5+R4-(F4*'Key Variables'!$C$21)</f>
        <v>16.749999999999996</v>
      </c>
      <c r="S5" s="3">
        <f>R5+S4-(G4*'Key Variables'!$C$21)</f>
        <v>17.699999999999996</v>
      </c>
      <c r="T5" s="3">
        <f>S5+T4-(H4*'Key Variables'!$C$21)</f>
        <v>18.649999999999995</v>
      </c>
      <c r="U5" s="3">
        <f>T5+U4-(I4*'Key Variables'!$C$21)</f>
        <v>19.599999999999994</v>
      </c>
      <c r="V5" s="3">
        <f>U5+V4-(J4*'Key Variables'!$C$21)</f>
        <v>20.549999999999994</v>
      </c>
      <c r="W5" s="3">
        <f>V5+W4-(K4*'Key Variables'!$C$21)</f>
        <v>21.499999999999993</v>
      </c>
      <c r="X5" s="3">
        <f>W5+X4-(L4*'Key Variables'!$C$21)</f>
        <v>22.449999999999992</v>
      </c>
      <c r="Y5" s="3">
        <f>X5+Y4-(M4*'Key Variables'!$C$21)</f>
        <v>23.399999999999991</v>
      </c>
      <c r="Z5" s="3">
        <f>Y5+Z4-(N4*'Key Variables'!$C$21)</f>
        <v>24.349999999999991</v>
      </c>
      <c r="AA5" s="3">
        <f>Z5+AA4-(O4*'Key Variables'!$C$21)</f>
        <v>25.29999999999999</v>
      </c>
      <c r="AB5" s="3">
        <f>AA5+AB4-(P4*'Key Variables'!$C$21)</f>
        <v>26.249999999999989</v>
      </c>
      <c r="AC5" s="3">
        <f>AB5+AC4-(Q4*'Key Variables'!$C$21)</f>
        <v>27.199999999999989</v>
      </c>
      <c r="AD5" s="3">
        <f>AC5+AD4-(R4*'Key Variables'!$C$21)</f>
        <v>28.149999999999988</v>
      </c>
      <c r="AE5" s="3">
        <f>AD5+AE4-(S4*'Key Variables'!$C$21)</f>
        <v>29.099999999999987</v>
      </c>
      <c r="AF5" s="3">
        <f>AE5+AF4-(T4*'Key Variables'!$C$21)</f>
        <v>30.049999999999986</v>
      </c>
      <c r="AG5" s="3">
        <f>AF5+AG4-(U4*'Key Variables'!$C$21)</f>
        <v>30.999999999999986</v>
      </c>
      <c r="AH5" s="3">
        <f>AG5+AH4-(V4*'Key Variables'!$C$21)</f>
        <v>31.949999999999985</v>
      </c>
      <c r="AI5" s="3">
        <f>AH5+AI4-(W4*'Key Variables'!$C$21)</f>
        <v>32.899999999999991</v>
      </c>
      <c r="AJ5" s="3">
        <f>AI5+AJ4-(X4*'Key Variables'!$C$21)</f>
        <v>33.849999999999994</v>
      </c>
      <c r="AK5" s="21">
        <f>AJ5+AK4-(Y4*'Key Variables'!$C$21)</f>
        <v>34.799999999999997</v>
      </c>
      <c r="AL5" s="21">
        <f>AK5+AL4-(Z4*'Key Variables'!$C$21)</f>
        <v>35.75</v>
      </c>
      <c r="AM5" s="3">
        <f>AL5+AM4-(AA4*'Key Variables'!$C$21)</f>
        <v>36.700000000000003</v>
      </c>
      <c r="AN5" s="3">
        <f>AM5+AN4-(AB4*'Key Variables'!$C$21)</f>
        <v>37.650000000000006</v>
      </c>
      <c r="AO5" s="3">
        <f>AN5+AO4-(AC4*'Key Variables'!$C$21)</f>
        <v>38.600000000000009</v>
      </c>
      <c r="AP5" s="3">
        <f>AO5+AP4-(AD4*'Key Variables'!$C$21)</f>
        <v>39.550000000000011</v>
      </c>
      <c r="AQ5" s="3">
        <f>AP5+AQ4-(AE4*'Key Variables'!$C$21)</f>
        <v>40.500000000000014</v>
      </c>
      <c r="AR5" s="3">
        <f>AQ5+AR4-(AF4*'Key Variables'!$C$21)</f>
        <v>41.450000000000017</v>
      </c>
      <c r="AS5" s="3">
        <f>AR5+AS4-(AG4*'Key Variables'!$C$21)</f>
        <v>42.40000000000002</v>
      </c>
      <c r="AT5" s="3">
        <f>AS5+AT4-(AH4*'Key Variables'!$C$21)</f>
        <v>43.350000000000023</v>
      </c>
      <c r="AU5" s="3">
        <f>AT5+AU4-(AI4*'Key Variables'!$C$21)</f>
        <v>44.300000000000026</v>
      </c>
      <c r="AV5" s="3">
        <f>AU5+AV4-(AJ4*'Key Variables'!$C$21)</f>
        <v>45.250000000000028</v>
      </c>
      <c r="AW5" s="3">
        <f>AV5+AW4-(AK4*'Key Variables'!$C$21)</f>
        <v>46.200000000000031</v>
      </c>
    </row>
    <row r="6" spans="1:51" hidden="1" x14ac:dyDescent="0.45">
      <c r="A6" s="10"/>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51" hidden="1" x14ac:dyDescent="0.45">
      <c r="A7" s="10" t="s">
        <v>68</v>
      </c>
      <c r="B7" s="17">
        <f>B5*'Key Variables'!$E$49/100</f>
        <v>0.32</v>
      </c>
      <c r="C7" s="17">
        <f>C5*'Key Variables'!$E$49/100</f>
        <v>0.64</v>
      </c>
      <c r="D7" s="17">
        <f>D5*'Key Variables'!$E$49/100</f>
        <v>0.96</v>
      </c>
      <c r="E7" s="3">
        <f>E5*'Key Variables'!$E$49/100</f>
        <v>1.28</v>
      </c>
      <c r="F7" s="3">
        <f>F5*'Key Variables'!$E$49/100</f>
        <v>1.6</v>
      </c>
      <c r="G7" s="3">
        <f>G5*'Key Variables'!$E$49/100</f>
        <v>1.92</v>
      </c>
      <c r="H7" s="3">
        <f>H5*'Key Variables'!$E$49/100</f>
        <v>2.2400000000000002</v>
      </c>
      <c r="I7" s="3">
        <f>I5*'Key Variables'!$E$49/100</f>
        <v>2.56</v>
      </c>
      <c r="J7" s="3">
        <f>J5*'Key Variables'!$E$49/100</f>
        <v>2.88</v>
      </c>
      <c r="K7" s="3">
        <f>K5*'Key Variables'!$E$49/100</f>
        <v>3.2</v>
      </c>
      <c r="L7" s="3">
        <f>L5*'Key Variables'!$E$49/100</f>
        <v>3.52</v>
      </c>
      <c r="M7" s="3">
        <f>M5*'Key Variables'!$E$49/100</f>
        <v>3.84</v>
      </c>
      <c r="N7" s="3">
        <f>N5*'Key Variables'!$E$49/100</f>
        <v>4.1440000000000001</v>
      </c>
      <c r="O7" s="3">
        <f>O5*'Key Variables'!$E$49/100</f>
        <v>4.4479999999999995</v>
      </c>
      <c r="P7" s="3">
        <f>P5*'Key Variables'!$E$49/100</f>
        <v>4.7519999999999989</v>
      </c>
      <c r="Q7" s="3">
        <f>Q5*'Key Variables'!$E$49/100</f>
        <v>5.0559999999999992</v>
      </c>
      <c r="R7" s="3">
        <f>R5*'Key Variables'!$E$49/100</f>
        <v>5.3599999999999985</v>
      </c>
      <c r="S7" s="3">
        <f>S5*'Key Variables'!$E$49/100</f>
        <v>5.6639999999999988</v>
      </c>
      <c r="T7" s="3">
        <f>T5*'Key Variables'!$E$49/100</f>
        <v>5.9679999999999982</v>
      </c>
      <c r="U7" s="3">
        <f>U5*'Key Variables'!$E$49/100</f>
        <v>6.2719999999999985</v>
      </c>
      <c r="V7" s="3">
        <f>V5*'Key Variables'!$E$49/100</f>
        <v>6.5759999999999978</v>
      </c>
      <c r="W7" s="3">
        <f>W5*'Key Variables'!$E$49/100</f>
        <v>6.8799999999999981</v>
      </c>
      <c r="X7" s="3">
        <f>X5*'Key Variables'!$E$49/100</f>
        <v>7.1839999999999975</v>
      </c>
      <c r="Y7" s="3">
        <f>Y5*'Key Variables'!$E$49/100</f>
        <v>7.4879999999999969</v>
      </c>
      <c r="Z7" s="3">
        <f>Z5*'Key Variables'!$E$49/100</f>
        <v>7.7919999999999972</v>
      </c>
      <c r="AA7" s="3">
        <f>AA5*'Key Variables'!$E$49/100</f>
        <v>8.0959999999999965</v>
      </c>
      <c r="AB7" s="3">
        <f>AB5*'Key Variables'!$E$49/100</f>
        <v>8.3999999999999968</v>
      </c>
      <c r="AC7" s="3">
        <f>AC5*'Key Variables'!$E$49/100</f>
        <v>8.7039999999999971</v>
      </c>
      <c r="AD7" s="3">
        <f>AD5*'Key Variables'!$E$49/100</f>
        <v>9.0079999999999956</v>
      </c>
      <c r="AE7" s="3">
        <f>AE5*'Key Variables'!$E$49/100</f>
        <v>9.3119999999999958</v>
      </c>
      <c r="AF7" s="3">
        <f>AF5*'Key Variables'!$E$49/100</f>
        <v>9.6159999999999961</v>
      </c>
      <c r="AG7" s="3">
        <f>AG5*'Key Variables'!$E$49/100</f>
        <v>9.9199999999999946</v>
      </c>
      <c r="AH7" s="3">
        <f>AH5*'Key Variables'!$E$49/100</f>
        <v>10.223999999999995</v>
      </c>
      <c r="AI7" s="3">
        <f>AI5*'Key Variables'!$E$49/100</f>
        <v>10.527999999999997</v>
      </c>
      <c r="AJ7" s="3">
        <f>AJ5*'Key Variables'!$E$49/100</f>
        <v>10.831999999999999</v>
      </c>
      <c r="AK7" s="3">
        <f>AK5*'Key Variables'!$E$49/100</f>
        <v>11.135999999999999</v>
      </c>
      <c r="AL7" s="3">
        <f>AL5*'Key Variables'!$E$49/100</f>
        <v>11.44</v>
      </c>
      <c r="AM7" s="3">
        <f>AM5*'Key Variables'!$E$49/100</f>
        <v>11.744000000000002</v>
      </c>
      <c r="AN7" s="3">
        <f>AN5*'Key Variables'!$E$49/100</f>
        <v>12.048000000000002</v>
      </c>
      <c r="AO7" s="3">
        <f>AO5*'Key Variables'!$E$49/100</f>
        <v>12.352000000000002</v>
      </c>
      <c r="AP7" s="3">
        <f>AP5*'Key Variables'!$E$49/100</f>
        <v>12.656000000000004</v>
      </c>
      <c r="AQ7" s="3">
        <f>AQ5*'Key Variables'!$E$49/100</f>
        <v>12.960000000000004</v>
      </c>
      <c r="AR7" s="3">
        <f>AR5*'Key Variables'!$E$49/100</f>
        <v>13.264000000000005</v>
      </c>
      <c r="AS7" s="3">
        <f>AS5*'Key Variables'!$E$49/100</f>
        <v>13.568000000000007</v>
      </c>
      <c r="AT7" s="3">
        <f>AT5*'Key Variables'!$E$49/100</f>
        <v>13.872000000000007</v>
      </c>
      <c r="AU7" s="3">
        <f>AU5*'Key Variables'!$E$49/100</f>
        <v>14.176000000000009</v>
      </c>
      <c r="AV7" s="3">
        <f>AV5*'Key Variables'!$E$49/100</f>
        <v>14.480000000000009</v>
      </c>
      <c r="AW7" s="3">
        <f>AW5*'Key Variables'!$E$49/100</f>
        <v>14.78400000000001</v>
      </c>
      <c r="AX7" s="22">
        <f>AW7/$AW$5</f>
        <v>0.32</v>
      </c>
    </row>
    <row r="8" spans="1:51" hidden="1" x14ac:dyDescent="0.45">
      <c r="A8" s="10" t="s">
        <v>71</v>
      </c>
      <c r="B8" s="17">
        <f>B5*'Key Variables'!$E$50/100</f>
        <v>0.3</v>
      </c>
      <c r="C8" s="17">
        <f>C5*'Key Variables'!$E$50/100</f>
        <v>0.6</v>
      </c>
      <c r="D8" s="17">
        <f>D5*'Key Variables'!$E$50/100</f>
        <v>0.9</v>
      </c>
      <c r="E8" s="17">
        <f>E5*'Key Variables'!$E$50/100</f>
        <v>1.2</v>
      </c>
      <c r="F8" s="17">
        <f>F5*'Key Variables'!$E$50/100</f>
        <v>1.5</v>
      </c>
      <c r="G8" s="17">
        <f>G5*'Key Variables'!$E$50/100</f>
        <v>1.8</v>
      </c>
      <c r="H8" s="17">
        <f>H5*'Key Variables'!$E$50/100</f>
        <v>2.1</v>
      </c>
      <c r="I8" s="17">
        <f>I5*'Key Variables'!$E$50/100</f>
        <v>2.4</v>
      </c>
      <c r="J8" s="17">
        <f>J5*'Key Variables'!$E$50/100</f>
        <v>2.7</v>
      </c>
      <c r="K8" s="17">
        <f>K5*'Key Variables'!$E$50/100</f>
        <v>3</v>
      </c>
      <c r="L8" s="17">
        <f>L5*'Key Variables'!$E$50/100</f>
        <v>3.3</v>
      </c>
      <c r="M8" s="17">
        <f>M5*'Key Variables'!$E$50/100</f>
        <v>3.6</v>
      </c>
      <c r="N8" s="17">
        <f>N5*'Key Variables'!$E$50/100</f>
        <v>3.8849999999999998</v>
      </c>
      <c r="O8" s="17">
        <f>O5*'Key Variables'!$E$50/100</f>
        <v>4.169999999999999</v>
      </c>
      <c r="P8" s="17">
        <f>P5*'Key Variables'!$E$50/100</f>
        <v>4.4549999999999992</v>
      </c>
      <c r="Q8" s="17">
        <f>Q5*'Key Variables'!$E$50/100</f>
        <v>4.7399999999999984</v>
      </c>
      <c r="R8" s="17">
        <f>R5*'Key Variables'!$E$50/100</f>
        <v>5.0249999999999986</v>
      </c>
      <c r="S8" s="17">
        <f>S5*'Key Variables'!$E$50/100</f>
        <v>5.3099999999999987</v>
      </c>
      <c r="T8" s="17">
        <f>T5*'Key Variables'!$E$50/100</f>
        <v>5.5949999999999989</v>
      </c>
      <c r="U8" s="17">
        <f>U5*'Key Variables'!$E$50/100</f>
        <v>5.8799999999999981</v>
      </c>
      <c r="V8" s="17">
        <f>V5*'Key Variables'!$E$50/100</f>
        <v>6.1649999999999974</v>
      </c>
      <c r="W8" s="17">
        <f>W5*'Key Variables'!$E$50/100</f>
        <v>6.4499999999999975</v>
      </c>
      <c r="X8" s="17">
        <f>X5*'Key Variables'!$E$50/100</f>
        <v>6.7349999999999977</v>
      </c>
      <c r="Y8" s="17">
        <f>Y5*'Key Variables'!$E$50/100</f>
        <v>7.0199999999999978</v>
      </c>
      <c r="Z8" s="17">
        <f>Z5*'Key Variables'!$E$50/100</f>
        <v>7.3049999999999979</v>
      </c>
      <c r="AA8" s="17">
        <f>AA5*'Key Variables'!$E$50/100</f>
        <v>7.5899999999999963</v>
      </c>
      <c r="AB8" s="17">
        <f>AB5*'Key Variables'!$E$50/100</f>
        <v>7.8749999999999964</v>
      </c>
      <c r="AC8" s="17">
        <f>AC5*'Key Variables'!$E$50/100</f>
        <v>8.1599999999999966</v>
      </c>
      <c r="AD8" s="17">
        <f>AD5*'Key Variables'!$E$50/100</f>
        <v>8.4449999999999967</v>
      </c>
      <c r="AE8" s="17">
        <f>AE5*'Key Variables'!$E$50/100</f>
        <v>8.7299999999999969</v>
      </c>
      <c r="AF8" s="17">
        <f>AF5*'Key Variables'!$E$50/100</f>
        <v>9.0149999999999952</v>
      </c>
      <c r="AG8" s="17">
        <f>AG5*'Key Variables'!$E$50/100</f>
        <v>9.2999999999999954</v>
      </c>
      <c r="AH8" s="17">
        <f>AH5*'Key Variables'!$E$50/100</f>
        <v>9.5849999999999955</v>
      </c>
      <c r="AI8" s="17">
        <f>AI5*'Key Variables'!$E$50/100</f>
        <v>9.8699999999999974</v>
      </c>
      <c r="AJ8" s="17">
        <f>AJ5*'Key Variables'!$E$50/100</f>
        <v>10.154999999999998</v>
      </c>
      <c r="AK8" s="17">
        <f>AK5*'Key Variables'!$E$50/100</f>
        <v>10.44</v>
      </c>
      <c r="AL8" s="17">
        <f>AL5*'Key Variables'!$E$50/100</f>
        <v>10.725</v>
      </c>
      <c r="AM8" s="17">
        <f>AM5*'Key Variables'!$E$50/100</f>
        <v>11.01</v>
      </c>
      <c r="AN8" s="17">
        <f>AN5*'Key Variables'!$E$50/100</f>
        <v>11.295000000000002</v>
      </c>
      <c r="AO8" s="17">
        <f>AO5*'Key Variables'!$E$50/100</f>
        <v>11.580000000000002</v>
      </c>
      <c r="AP8" s="17">
        <f>AP5*'Key Variables'!$E$50/100</f>
        <v>11.865000000000004</v>
      </c>
      <c r="AQ8" s="17">
        <f>AQ5*'Key Variables'!$E$50/100</f>
        <v>12.150000000000004</v>
      </c>
      <c r="AR8" s="17">
        <f>AR5*'Key Variables'!$E$50/100</f>
        <v>12.435000000000004</v>
      </c>
      <c r="AS8" s="17">
        <f>AS5*'Key Variables'!$E$50/100</f>
        <v>12.720000000000006</v>
      </c>
      <c r="AT8" s="17">
        <f>AT5*'Key Variables'!$E$50/100</f>
        <v>13.005000000000006</v>
      </c>
      <c r="AU8" s="17">
        <f>AU5*'Key Variables'!$E$50/100</f>
        <v>13.290000000000006</v>
      </c>
      <c r="AV8" s="17">
        <f>AV5*'Key Variables'!$E$50/100</f>
        <v>13.57500000000001</v>
      </c>
      <c r="AW8" s="17">
        <f>AW5*'Key Variables'!$E$50/100</f>
        <v>13.860000000000008</v>
      </c>
      <c r="AX8" s="22">
        <f t="shared" ref="AX8" si="1">AW8/$AW$5</f>
        <v>0.3</v>
      </c>
    </row>
    <row r="9" spans="1:51" hidden="1" x14ac:dyDescent="0.45">
      <c r="A9" s="10"/>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51" hidden="1" x14ac:dyDescent="0.45">
      <c r="A10" s="10" t="s">
        <v>69</v>
      </c>
      <c r="B10" s="16">
        <f>B4*'Key Variables'!$C$8</f>
        <v>20000</v>
      </c>
      <c r="C10" s="16">
        <f>C4*'Key Variables'!$C$8</f>
        <v>20000</v>
      </c>
      <c r="D10" s="16">
        <f>D4*'Key Variables'!$C$8</f>
        <v>20000</v>
      </c>
      <c r="E10" s="16">
        <f>E4*'Key Variables'!$C$8</f>
        <v>20000</v>
      </c>
      <c r="F10" s="16">
        <f>F4*'Key Variables'!$C$8</f>
        <v>20000</v>
      </c>
      <c r="G10" s="16">
        <f>G4*'Key Variables'!$C$8</f>
        <v>20000</v>
      </c>
      <c r="H10" s="16">
        <f>H4*'Key Variables'!$C$8</f>
        <v>20000</v>
      </c>
      <c r="I10" s="16">
        <f>I4*'Key Variables'!$C$8</f>
        <v>20000</v>
      </c>
      <c r="J10" s="16">
        <f>J4*'Key Variables'!$C$8</f>
        <v>20000</v>
      </c>
      <c r="K10" s="16">
        <f>K4*'Key Variables'!$C$8</f>
        <v>20000</v>
      </c>
      <c r="L10" s="16">
        <f>L4*'Key Variables'!$C$8</f>
        <v>20000</v>
      </c>
      <c r="M10" s="16">
        <f>M4*'Key Variables'!$C$8</f>
        <v>20000</v>
      </c>
      <c r="N10" s="16">
        <f>N4*'Key Variables'!$C$8</f>
        <v>20000</v>
      </c>
      <c r="O10" s="16">
        <f>O4*'Key Variables'!$C$8</f>
        <v>20000</v>
      </c>
      <c r="P10" s="16">
        <f>P4*'Key Variables'!$C$8</f>
        <v>20000</v>
      </c>
      <c r="Q10" s="16">
        <f>Q4*'Key Variables'!$C$8</f>
        <v>20000</v>
      </c>
      <c r="R10" s="16">
        <f>R4*'Key Variables'!$C$8</f>
        <v>20000</v>
      </c>
      <c r="S10" s="16">
        <f>S4*'Key Variables'!$C$8</f>
        <v>20000</v>
      </c>
      <c r="T10" s="16">
        <f>T4*'Key Variables'!$C$8</f>
        <v>20000</v>
      </c>
      <c r="U10" s="16">
        <f>U4*'Key Variables'!$C$8</f>
        <v>20000</v>
      </c>
      <c r="V10" s="16">
        <f>V4*'Key Variables'!$C$8</f>
        <v>20000</v>
      </c>
      <c r="W10" s="16">
        <f>W4*'Key Variables'!$C$8</f>
        <v>20000</v>
      </c>
      <c r="X10" s="16">
        <f>X4*'Key Variables'!$C$8</f>
        <v>20000</v>
      </c>
      <c r="Y10" s="16">
        <f>Y4*'Key Variables'!$C$8</f>
        <v>20000</v>
      </c>
      <c r="Z10" s="16">
        <f>Z4*'Key Variables'!$C$8</f>
        <v>20000</v>
      </c>
      <c r="AA10" s="16">
        <f>AA4*'Key Variables'!$C$8</f>
        <v>20000</v>
      </c>
      <c r="AB10" s="16">
        <f>AB4*'Key Variables'!$C$8</f>
        <v>20000</v>
      </c>
      <c r="AC10" s="16">
        <f>AC4*'Key Variables'!$C$8</f>
        <v>20000</v>
      </c>
      <c r="AD10" s="16">
        <f>AD4*'Key Variables'!$C$8</f>
        <v>20000</v>
      </c>
      <c r="AE10" s="16">
        <f>AE4*'Key Variables'!$C$8</f>
        <v>20000</v>
      </c>
      <c r="AF10" s="16">
        <f>AF4*'Key Variables'!$C$8</f>
        <v>20000</v>
      </c>
      <c r="AG10" s="16">
        <f>AG4*'Key Variables'!$C$8</f>
        <v>20000</v>
      </c>
      <c r="AH10" s="16">
        <f>AH4*'Key Variables'!$C$8</f>
        <v>20000</v>
      </c>
      <c r="AI10" s="16">
        <f>AI4*'Key Variables'!$C$8</f>
        <v>20000</v>
      </c>
      <c r="AJ10" s="16">
        <f>AJ4*'Key Variables'!$C$8</f>
        <v>20000</v>
      </c>
      <c r="AK10" s="16">
        <f>AK4*'Key Variables'!$C$8</f>
        <v>20000</v>
      </c>
      <c r="AL10" s="16">
        <f>AL4*'Key Variables'!$C$8</f>
        <v>20000</v>
      </c>
      <c r="AM10" s="16">
        <f>AM4*'Key Variables'!$C$8</f>
        <v>20000</v>
      </c>
      <c r="AN10" s="16">
        <f>AN4*'Key Variables'!$C$8</f>
        <v>20000</v>
      </c>
      <c r="AO10" s="16">
        <f>AO4*'Key Variables'!$C$8</f>
        <v>20000</v>
      </c>
      <c r="AP10" s="16">
        <f>AP4*'Key Variables'!$C$8</f>
        <v>20000</v>
      </c>
      <c r="AQ10" s="16">
        <f>AQ4*'Key Variables'!$C$8</f>
        <v>20000</v>
      </c>
      <c r="AR10" s="16">
        <f>AR4*'Key Variables'!$C$8</f>
        <v>20000</v>
      </c>
      <c r="AS10" s="16">
        <f>AS4*'Key Variables'!$C$8</f>
        <v>20000</v>
      </c>
      <c r="AT10" s="16">
        <f>AT4*'Key Variables'!$C$8</f>
        <v>20000</v>
      </c>
      <c r="AU10" s="16">
        <f>AU4*'Key Variables'!$C$8</f>
        <v>20000</v>
      </c>
      <c r="AV10" s="16">
        <f>AV4*'Key Variables'!$C$8</f>
        <v>20000</v>
      </c>
      <c r="AW10" s="16">
        <f>AW4*'Key Variables'!$C$8</f>
        <v>20000</v>
      </c>
      <c r="AX10" s="4">
        <f>SUM(B10:AW10)</f>
        <v>960000</v>
      </c>
    </row>
    <row r="11" spans="1:51" s="11" customFormat="1" hidden="1" x14ac:dyDescent="0.45">
      <c r="A11" s="10" t="s">
        <v>70</v>
      </c>
      <c r="B11" s="16">
        <f>B7*'Key Variables'!$C$11/12</f>
        <v>133.33333333333334</v>
      </c>
      <c r="C11" s="16">
        <f>C7*'Key Variables'!$C$11/12</f>
        <v>266.66666666666669</v>
      </c>
      <c r="D11" s="16">
        <f>D7*'Key Variables'!$C$11/12</f>
        <v>400</v>
      </c>
      <c r="E11" s="16">
        <f>E7*'Key Variables'!$C$11/12</f>
        <v>533.33333333333337</v>
      </c>
      <c r="F11" s="16">
        <f>F7*'Key Variables'!$C$11/12</f>
        <v>666.66666666666663</v>
      </c>
      <c r="G11" s="16">
        <f>G7*'Key Variables'!$C$11/12</f>
        <v>800</v>
      </c>
      <c r="H11" s="16">
        <f>H7*'Key Variables'!$C$11/12</f>
        <v>933.33333333333348</v>
      </c>
      <c r="I11" s="16">
        <f>I7*'Key Variables'!$C$11/12</f>
        <v>1066.6666666666667</v>
      </c>
      <c r="J11" s="16">
        <f>J7*'Key Variables'!$C$11/12</f>
        <v>1200</v>
      </c>
      <c r="K11" s="16">
        <f>K7*'Key Variables'!$C$11/12</f>
        <v>1333.3333333333333</v>
      </c>
      <c r="L11" s="16">
        <f>L7*'Key Variables'!$C$11/12</f>
        <v>1466.6666666666667</v>
      </c>
      <c r="M11" s="16">
        <f>M7*'Key Variables'!$C$11/12</f>
        <v>1600</v>
      </c>
      <c r="N11" s="16">
        <f>N7*'Key Variables'!$C$11/12</f>
        <v>1726.6666666666667</v>
      </c>
      <c r="O11" s="16">
        <f>O7*'Key Variables'!$C$11/12</f>
        <v>1853.333333333333</v>
      </c>
      <c r="P11" s="16">
        <f>P7*'Key Variables'!$C$11/12</f>
        <v>1979.9999999999993</v>
      </c>
      <c r="Q11" s="16">
        <f>Q7*'Key Variables'!$C$11/12</f>
        <v>2106.6666666666665</v>
      </c>
      <c r="R11" s="16">
        <f>R7*'Key Variables'!$C$11/12</f>
        <v>2233.3333333333326</v>
      </c>
      <c r="S11" s="16">
        <f>S7*'Key Variables'!$C$11/12</f>
        <v>2359.9999999999995</v>
      </c>
      <c r="T11" s="16">
        <f>T7*'Key Variables'!$C$11/12</f>
        <v>2486.6666666666661</v>
      </c>
      <c r="U11" s="16">
        <f>U7*'Key Variables'!$C$11/12</f>
        <v>2613.3333333333326</v>
      </c>
      <c r="V11" s="16">
        <f>V7*'Key Variables'!$C$11/12</f>
        <v>2739.9999999999995</v>
      </c>
      <c r="W11" s="16">
        <f>W7*'Key Variables'!$C$11/12</f>
        <v>2866.6666666666661</v>
      </c>
      <c r="X11" s="16">
        <f>X7*'Key Variables'!$C$11/12</f>
        <v>2993.3333333333321</v>
      </c>
      <c r="Y11" s="16">
        <f>Y7*'Key Variables'!$C$11/12</f>
        <v>3119.9999999999986</v>
      </c>
      <c r="Z11" s="16">
        <f>Z7*'Key Variables'!$C$11/12</f>
        <v>3246.6666666666656</v>
      </c>
      <c r="AA11" s="16">
        <f>AA7*'Key Variables'!$C$11/12</f>
        <v>3373.3333333333321</v>
      </c>
      <c r="AB11" s="16">
        <f>AB7*'Key Variables'!$C$11/12</f>
        <v>3499.9999999999986</v>
      </c>
      <c r="AC11" s="16">
        <f>AC7*'Key Variables'!$C$11/12</f>
        <v>3626.6666666666656</v>
      </c>
      <c r="AD11" s="16">
        <f>AD7*'Key Variables'!$C$11/12</f>
        <v>3753.3333333333317</v>
      </c>
      <c r="AE11" s="16">
        <f>AE7*'Key Variables'!$C$11/12</f>
        <v>3879.9999999999982</v>
      </c>
      <c r="AF11" s="16">
        <f>AF7*'Key Variables'!$C$11/12</f>
        <v>4006.6666666666647</v>
      </c>
      <c r="AG11" s="16">
        <f>AG7*'Key Variables'!$C$11/12</f>
        <v>4133.3333333333312</v>
      </c>
      <c r="AH11" s="16">
        <f>AH7*'Key Variables'!$C$11/12</f>
        <v>4259.9999999999973</v>
      </c>
      <c r="AI11" s="16">
        <f>AI7*'Key Variables'!$C$11/12</f>
        <v>4386.6666666666652</v>
      </c>
      <c r="AJ11" s="16">
        <f>AJ7*'Key Variables'!$C$11/12</f>
        <v>4513.333333333333</v>
      </c>
      <c r="AK11" s="16">
        <f>AK7*'Key Variables'!$C$11/12</f>
        <v>4639.9999999999991</v>
      </c>
      <c r="AL11" s="16">
        <f>AL7*'Key Variables'!$C$11/12</f>
        <v>4766.666666666667</v>
      </c>
      <c r="AM11" s="16">
        <f>AM7*'Key Variables'!$C$11/12</f>
        <v>4893.3333333333339</v>
      </c>
      <c r="AN11" s="16">
        <f>AN7*'Key Variables'!$C$11/12</f>
        <v>5020.0000000000009</v>
      </c>
      <c r="AO11" s="16">
        <f>AO7*'Key Variables'!$C$11/12</f>
        <v>5146.666666666667</v>
      </c>
      <c r="AP11" s="16">
        <f>AP7*'Key Variables'!$C$11/12</f>
        <v>5273.3333333333348</v>
      </c>
      <c r="AQ11" s="16">
        <f>AQ7*'Key Variables'!$C$11/12</f>
        <v>5400.0000000000018</v>
      </c>
      <c r="AR11" s="16">
        <f>AR7*'Key Variables'!$C$11/12</f>
        <v>5526.6666666666688</v>
      </c>
      <c r="AS11" s="16">
        <f>AS7*'Key Variables'!$C$11/12</f>
        <v>5653.3333333333358</v>
      </c>
      <c r="AT11" s="16">
        <f>AT7*'Key Variables'!$C$11/12</f>
        <v>5780.0000000000027</v>
      </c>
      <c r="AU11" s="16">
        <f>AU7*'Key Variables'!$C$11/12</f>
        <v>5906.6666666666706</v>
      </c>
      <c r="AV11" s="16">
        <f>AV7*'Key Variables'!$C$11/12</f>
        <v>6033.3333333333367</v>
      </c>
      <c r="AW11" s="16">
        <f>AW7*'Key Variables'!$C$11/12</f>
        <v>6160.0000000000036</v>
      </c>
      <c r="AX11" s="4">
        <f>SUM(B11:AW11)</f>
        <v>152360</v>
      </c>
    </row>
    <row r="12" spans="1:51" s="11" customFormat="1" hidden="1" x14ac:dyDescent="0.45">
      <c r="A12" s="10" t="s">
        <v>72</v>
      </c>
      <c r="B12" s="16">
        <f>B8*'Key Variables'!$C$12/12</f>
        <v>125</v>
      </c>
      <c r="C12" s="16">
        <f>C8*'Key Variables'!$C$12/12</f>
        <v>250</v>
      </c>
      <c r="D12" s="16">
        <f>D8*'Key Variables'!$C$12/12</f>
        <v>375</v>
      </c>
      <c r="E12" s="16">
        <f>E8*'Key Variables'!$C$12/12</f>
        <v>500</v>
      </c>
      <c r="F12" s="16">
        <f>F8*'Key Variables'!$C$12/12</f>
        <v>625</v>
      </c>
      <c r="G12" s="16">
        <f>G8*'Key Variables'!$C$12/12</f>
        <v>750</v>
      </c>
      <c r="H12" s="16">
        <f>H8*'Key Variables'!$C$12/12</f>
        <v>875</v>
      </c>
      <c r="I12" s="16">
        <f>I8*'Key Variables'!$C$12/12</f>
        <v>1000</v>
      </c>
      <c r="J12" s="16">
        <f>J8*'Key Variables'!$C$12/12</f>
        <v>1125</v>
      </c>
      <c r="K12" s="16">
        <f>K8*'Key Variables'!$C$12/12</f>
        <v>1250</v>
      </c>
      <c r="L12" s="16">
        <f>L8*'Key Variables'!$C$12/12</f>
        <v>1375</v>
      </c>
      <c r="M12" s="16">
        <f>M8*'Key Variables'!$C$12/12</f>
        <v>1500</v>
      </c>
      <c r="N12" s="16">
        <f>N8*'Key Variables'!$C$12/12</f>
        <v>1618.75</v>
      </c>
      <c r="O12" s="16">
        <f>O8*'Key Variables'!$C$12/12</f>
        <v>1737.4999999999998</v>
      </c>
      <c r="P12" s="16">
        <f>P8*'Key Variables'!$C$12/12</f>
        <v>1856.2499999999998</v>
      </c>
      <c r="Q12" s="16">
        <f>Q8*'Key Variables'!$C$12/12</f>
        <v>1974.9999999999993</v>
      </c>
      <c r="R12" s="16">
        <f>R8*'Key Variables'!$C$12/12</f>
        <v>2093.7499999999995</v>
      </c>
      <c r="S12" s="16">
        <f>S8*'Key Variables'!$C$12/12</f>
        <v>2212.4999999999995</v>
      </c>
      <c r="T12" s="16">
        <f>T8*'Key Variables'!$C$12/12</f>
        <v>2331.2499999999995</v>
      </c>
      <c r="U12" s="16">
        <f>U8*'Key Variables'!$C$12/12</f>
        <v>2449.9999999999991</v>
      </c>
      <c r="V12" s="16">
        <f>V8*'Key Variables'!$C$12/12</f>
        <v>2568.7499999999986</v>
      </c>
      <c r="W12" s="16">
        <f>W8*'Key Variables'!$C$12/12</f>
        <v>2687.4999999999991</v>
      </c>
      <c r="X12" s="16">
        <f>X8*'Key Variables'!$C$12/12</f>
        <v>2806.2499999999986</v>
      </c>
      <c r="Y12" s="16">
        <f>Y8*'Key Variables'!$C$12/12</f>
        <v>2924.9999999999986</v>
      </c>
      <c r="Z12" s="16">
        <f>Z8*'Key Variables'!$C$12/12</f>
        <v>3043.7499999999995</v>
      </c>
      <c r="AA12" s="16">
        <f>AA8*'Key Variables'!$C$12/12</f>
        <v>3162.4999999999982</v>
      </c>
      <c r="AB12" s="16">
        <f>AB8*'Key Variables'!$C$12/12</f>
        <v>3281.2499999999986</v>
      </c>
      <c r="AC12" s="16">
        <f>AC8*'Key Variables'!$C$12/12</f>
        <v>3399.9999999999986</v>
      </c>
      <c r="AD12" s="16">
        <f>AD8*'Key Variables'!$C$12/12</f>
        <v>3518.7499999999986</v>
      </c>
      <c r="AE12" s="16">
        <f>AE8*'Key Variables'!$C$12/12</f>
        <v>3637.4999999999986</v>
      </c>
      <c r="AF12" s="16">
        <f>AF8*'Key Variables'!$C$12/12</f>
        <v>3756.2499999999982</v>
      </c>
      <c r="AG12" s="16">
        <f>AG8*'Key Variables'!$C$12/12</f>
        <v>3874.9999999999982</v>
      </c>
      <c r="AH12" s="16">
        <f>AH8*'Key Variables'!$C$12/12</f>
        <v>3993.7499999999982</v>
      </c>
      <c r="AI12" s="16">
        <f>AI8*'Key Variables'!$C$12/12</f>
        <v>4112.4999999999991</v>
      </c>
      <c r="AJ12" s="16">
        <f>AJ8*'Key Variables'!$C$12/12</f>
        <v>4231.2499999999991</v>
      </c>
      <c r="AK12" s="16">
        <f>AK8*'Key Variables'!$C$12/12</f>
        <v>4350</v>
      </c>
      <c r="AL12" s="16">
        <f>AL8*'Key Variables'!$C$12/12</f>
        <v>4468.75</v>
      </c>
      <c r="AM12" s="16">
        <f>AM8*'Key Variables'!$C$12/12</f>
        <v>4587.5</v>
      </c>
      <c r="AN12" s="16">
        <f>AN8*'Key Variables'!$C$12/12</f>
        <v>4706.2500000000009</v>
      </c>
      <c r="AO12" s="16">
        <f>AO8*'Key Variables'!$C$12/12</f>
        <v>4825.0000000000009</v>
      </c>
      <c r="AP12" s="16">
        <f>AP8*'Key Variables'!$C$12/12</f>
        <v>4943.7500000000018</v>
      </c>
      <c r="AQ12" s="16">
        <f>AQ8*'Key Variables'!$C$12/12</f>
        <v>5062.5000000000018</v>
      </c>
      <c r="AR12" s="16">
        <f>AR8*'Key Variables'!$C$12/12</f>
        <v>5181.2500000000018</v>
      </c>
      <c r="AS12" s="16">
        <f>AS8*'Key Variables'!$C$12/12</f>
        <v>5300.0000000000027</v>
      </c>
      <c r="AT12" s="16">
        <f>AT8*'Key Variables'!$C$12/12</f>
        <v>5418.7500000000027</v>
      </c>
      <c r="AU12" s="16">
        <f>AU8*'Key Variables'!$C$12/12</f>
        <v>5537.5000000000027</v>
      </c>
      <c r="AV12" s="16">
        <f>AV8*'Key Variables'!$C$12/12</f>
        <v>5656.2500000000036</v>
      </c>
      <c r="AW12" s="16">
        <f>AW8*'Key Variables'!$C$12/12</f>
        <v>5775.0000000000036</v>
      </c>
      <c r="AX12" s="4">
        <f t="shared" ref="AX12:AX20" si="2">SUM(B12:AW12)</f>
        <v>142837.5</v>
      </c>
    </row>
    <row r="13" spans="1:51" s="11" customFormat="1" hidden="1" x14ac:dyDescent="0.45">
      <c r="A13" s="10" t="s">
        <v>83</v>
      </c>
      <c r="B13" s="16"/>
      <c r="C13" s="16"/>
      <c r="D13" s="16"/>
      <c r="E13" s="16"/>
      <c r="F13" s="16"/>
      <c r="G13" s="16"/>
      <c r="H13" s="16">
        <f>B5*'Key Variables'!$C$9/12</f>
        <v>208.33333333333334</v>
      </c>
      <c r="I13" s="16">
        <f>C5*'Key Variables'!$C$9/12</f>
        <v>416.66666666666669</v>
      </c>
      <c r="J13" s="16">
        <f>D5*'Key Variables'!$C$9/12</f>
        <v>625</v>
      </c>
      <c r="K13" s="16">
        <f>E5*'Key Variables'!$C$9/12</f>
        <v>833.33333333333337</v>
      </c>
      <c r="L13" s="16">
        <f>F5*'Key Variables'!$C$9/12</f>
        <v>1041.6666666666667</v>
      </c>
      <c r="M13" s="16">
        <f>G5*'Key Variables'!$C$9/12</f>
        <v>1250</v>
      </c>
      <c r="N13" s="16">
        <f>H5*'Key Variables'!$C$9/12</f>
        <v>1458.3333333333333</v>
      </c>
      <c r="O13" s="16">
        <f>I5*'Key Variables'!$C$9/12</f>
        <v>1666.6666666666667</v>
      </c>
      <c r="P13" s="16">
        <f>J5*'Key Variables'!$C$9/12</f>
        <v>1875</v>
      </c>
      <c r="Q13" s="16">
        <f>K5*'Key Variables'!$C$9/12</f>
        <v>2083.3333333333335</v>
      </c>
      <c r="R13" s="16">
        <f>L5*'Key Variables'!$C$9/12</f>
        <v>2291.6666666666665</v>
      </c>
      <c r="S13" s="16">
        <f>M5*'Key Variables'!$C$9/12</f>
        <v>2500</v>
      </c>
      <c r="T13" s="16">
        <f>N5*'Key Variables'!$C$9/12</f>
        <v>2697.9166666666665</v>
      </c>
      <c r="U13" s="16">
        <f>O5*'Key Variables'!$C$9/12</f>
        <v>2895.8333333333335</v>
      </c>
      <c r="V13" s="16">
        <f>P5*'Key Variables'!$C$9/12</f>
        <v>3093.7499999999995</v>
      </c>
      <c r="W13" s="16">
        <f>Q5*'Key Variables'!$C$9/12</f>
        <v>3291.6666666666661</v>
      </c>
      <c r="X13" s="16">
        <f>R5*'Key Variables'!$C$9/12</f>
        <v>3489.5833333333326</v>
      </c>
      <c r="Y13" s="16">
        <f>S5*'Key Variables'!$C$9/12</f>
        <v>3687.4999999999995</v>
      </c>
      <c r="Z13" s="16">
        <f>T5*'Key Variables'!$C$9/12</f>
        <v>3885.4166666666656</v>
      </c>
      <c r="AA13" s="16">
        <f>U5*'Key Variables'!$C$9/12</f>
        <v>4083.3333333333321</v>
      </c>
      <c r="AB13" s="16">
        <f>V5*'Key Variables'!$C$9/12</f>
        <v>4281.2499999999991</v>
      </c>
      <c r="AC13" s="16">
        <f>W5*'Key Variables'!$C$9/12</f>
        <v>4479.1666666666652</v>
      </c>
      <c r="AD13" s="16">
        <f>X5*'Key Variables'!$C$9/12</f>
        <v>4677.0833333333312</v>
      </c>
      <c r="AE13" s="16">
        <f>Y5*'Key Variables'!$C$9/12</f>
        <v>4874.9999999999982</v>
      </c>
      <c r="AF13" s="16">
        <f>Z5*'Key Variables'!$C$9/12</f>
        <v>5072.9166666666652</v>
      </c>
      <c r="AG13" s="16">
        <f>AA5*'Key Variables'!$C$9/12</f>
        <v>5270.8333333333312</v>
      </c>
      <c r="AH13" s="16">
        <f>AB5*'Key Variables'!$C$9/12</f>
        <v>5468.7499999999973</v>
      </c>
      <c r="AI13" s="16">
        <f>AC5*'Key Variables'!$C$9/12</f>
        <v>5666.6666666666642</v>
      </c>
      <c r="AJ13" s="16">
        <f>AD5*'Key Variables'!$C$9/12</f>
        <v>5864.5833333333312</v>
      </c>
      <c r="AK13" s="16">
        <f>AE5*'Key Variables'!$C$9/12</f>
        <v>6062.4999999999973</v>
      </c>
      <c r="AL13" s="16">
        <f>AF5*'Key Variables'!$C$9/12</f>
        <v>6260.4166666666642</v>
      </c>
      <c r="AM13" s="16">
        <f>AG5*'Key Variables'!$C$9/12</f>
        <v>6458.3333333333312</v>
      </c>
      <c r="AN13" s="16">
        <f>AH5*'Key Variables'!$C$9/12</f>
        <v>6656.2499999999964</v>
      </c>
      <c r="AO13" s="16">
        <f>AI5*'Key Variables'!$C$9/12</f>
        <v>6854.1666666666652</v>
      </c>
      <c r="AP13" s="16">
        <f>AJ5*'Key Variables'!$C$9/12</f>
        <v>7052.0833333333321</v>
      </c>
      <c r="AQ13" s="16">
        <f>AK5*'Key Variables'!$C$9/12</f>
        <v>7250</v>
      </c>
      <c r="AR13" s="16">
        <f>AL5*'Key Variables'!$C$9/12</f>
        <v>7447.916666666667</v>
      </c>
      <c r="AS13" s="16">
        <f>AM5*'Key Variables'!$C$9/12</f>
        <v>7645.833333333333</v>
      </c>
      <c r="AT13" s="16">
        <f>AN5*'Key Variables'!$C$9/12</f>
        <v>7843.7500000000009</v>
      </c>
      <c r="AU13" s="16">
        <f>AO5*'Key Variables'!$C$9/12</f>
        <v>8041.6666666666679</v>
      </c>
      <c r="AV13" s="16">
        <f>AP5*'Key Variables'!$C$9/12</f>
        <v>8239.5833333333358</v>
      </c>
      <c r="AW13" s="16">
        <f>AQ5*'Key Variables'!$C$9/12</f>
        <v>8437.5000000000018</v>
      </c>
      <c r="AX13" s="16" t="e">
        <f>#REF!*'Key Variables'!$C$9/12</f>
        <v>#REF!</v>
      </c>
    </row>
    <row r="14" spans="1:51" s="11" customFormat="1" hidden="1" x14ac:dyDescent="0.45">
      <c r="A14" s="10" t="s">
        <v>74</v>
      </c>
      <c r="B14" s="16">
        <f>B5*'Key Variables'!$C$10/12</f>
        <v>625</v>
      </c>
      <c r="C14" s="16">
        <f>C5*'Key Variables'!$C$10/12</f>
        <v>1250</v>
      </c>
      <c r="D14" s="16">
        <f>D5*'Key Variables'!$C$10/12</f>
        <v>1875</v>
      </c>
      <c r="E14" s="16">
        <f>E5*'Key Variables'!$C$10/12</f>
        <v>2500</v>
      </c>
      <c r="F14" s="16">
        <f>F5*'Key Variables'!$C$10/12</f>
        <v>3125</v>
      </c>
      <c r="G14" s="16">
        <f>G5*'Key Variables'!$C$10/12</f>
        <v>3750</v>
      </c>
      <c r="H14" s="16">
        <f>H5*'Key Variables'!$C$10/12</f>
        <v>4375</v>
      </c>
      <c r="I14" s="16">
        <f>I5*'Key Variables'!$C$10/12</f>
        <v>5000</v>
      </c>
      <c r="J14" s="16">
        <f>J5*'Key Variables'!$C$10/12</f>
        <v>5625</v>
      </c>
      <c r="K14" s="16">
        <f>K5*'Key Variables'!$C$10/12</f>
        <v>6250</v>
      </c>
      <c r="L14" s="16">
        <f>L5*'Key Variables'!$C$10/12</f>
        <v>6875</v>
      </c>
      <c r="M14" s="16">
        <f>M5*'Key Variables'!$C$10/12</f>
        <v>7500</v>
      </c>
      <c r="N14" s="16">
        <f>N5*'Key Variables'!$C$10/12</f>
        <v>8093.75</v>
      </c>
      <c r="O14" s="16">
        <f>O5*'Key Variables'!$C$10/12</f>
        <v>8687.4999999999982</v>
      </c>
      <c r="P14" s="16">
        <f>P5*'Key Variables'!$C$10/12</f>
        <v>9281.2499999999982</v>
      </c>
      <c r="Q14" s="16">
        <f>Q5*'Key Variables'!$C$10/12</f>
        <v>9874.9999999999982</v>
      </c>
      <c r="R14" s="16">
        <f>R5*'Key Variables'!$C$10/12</f>
        <v>10468.749999999998</v>
      </c>
      <c r="S14" s="16">
        <f>S5*'Key Variables'!$C$10/12</f>
        <v>11062.499999999998</v>
      </c>
      <c r="T14" s="16">
        <f>T5*'Key Variables'!$C$10/12</f>
        <v>11656.249999999998</v>
      </c>
      <c r="U14" s="16">
        <f>U5*'Key Variables'!$C$10/12</f>
        <v>12249.999999999998</v>
      </c>
      <c r="V14" s="16">
        <f>V5*'Key Variables'!$C$10/12</f>
        <v>12843.749999999995</v>
      </c>
      <c r="W14" s="16">
        <f>W5*'Key Variables'!$C$10/12</f>
        <v>13437.499999999995</v>
      </c>
      <c r="X14" s="16">
        <f>X5*'Key Variables'!$C$10/12</f>
        <v>14031.249999999995</v>
      </c>
      <c r="Y14" s="16">
        <f>Y5*'Key Variables'!$C$10/12</f>
        <v>14624.999999999995</v>
      </c>
      <c r="Z14" s="16">
        <f>Z5*'Key Variables'!$C$10/12</f>
        <v>15218.749999999995</v>
      </c>
      <c r="AA14" s="16">
        <f>AA5*'Key Variables'!$C$10/12</f>
        <v>15812.499999999993</v>
      </c>
      <c r="AB14" s="16">
        <f>AB5*'Key Variables'!$C$10/12</f>
        <v>16406.249999999993</v>
      </c>
      <c r="AC14" s="16">
        <f>AC5*'Key Variables'!$C$10/12</f>
        <v>16999.999999999993</v>
      </c>
      <c r="AD14" s="16">
        <f>AD5*'Key Variables'!$C$10/12</f>
        <v>17593.749999999993</v>
      </c>
      <c r="AE14" s="16">
        <f>AE5*'Key Variables'!$C$10/12</f>
        <v>18187.499999999993</v>
      </c>
      <c r="AF14" s="16">
        <f>AF5*'Key Variables'!$C$10/12</f>
        <v>18781.249999999993</v>
      </c>
      <c r="AG14" s="16">
        <f>AG5*'Key Variables'!$C$10/12</f>
        <v>19374.999999999989</v>
      </c>
      <c r="AH14" s="16">
        <f>AH5*'Key Variables'!$C$10/12</f>
        <v>19968.749999999989</v>
      </c>
      <c r="AI14" s="16">
        <f>AI5*'Key Variables'!$C$10/12</f>
        <v>20562.499999999996</v>
      </c>
      <c r="AJ14" s="16">
        <f>AJ5*'Key Variables'!$C$10/12</f>
        <v>21156.249999999996</v>
      </c>
      <c r="AK14" s="16">
        <f>AK5*'Key Variables'!$C$10/12</f>
        <v>21749.999999999996</v>
      </c>
      <c r="AL14" s="16">
        <f>AL5*'Key Variables'!$C$10/12</f>
        <v>22343.75</v>
      </c>
      <c r="AM14" s="16">
        <f>AM5*'Key Variables'!$C$10/12</f>
        <v>22937.5</v>
      </c>
      <c r="AN14" s="16">
        <f>AN5*'Key Variables'!$C$10/12</f>
        <v>23531.250000000004</v>
      </c>
      <c r="AO14" s="16">
        <f>AO5*'Key Variables'!$C$10/12</f>
        <v>24125.000000000004</v>
      </c>
      <c r="AP14" s="16">
        <f>AP5*'Key Variables'!$C$10/12</f>
        <v>24718.750000000004</v>
      </c>
      <c r="AQ14" s="16">
        <f>AQ5*'Key Variables'!$C$10/12</f>
        <v>25312.500000000011</v>
      </c>
      <c r="AR14" s="16">
        <f>AR5*'Key Variables'!$C$10/12</f>
        <v>25906.250000000011</v>
      </c>
      <c r="AS14" s="16">
        <f>AS5*'Key Variables'!$C$10/12</f>
        <v>26500.000000000015</v>
      </c>
      <c r="AT14" s="16">
        <f>AT5*'Key Variables'!$C$10/12</f>
        <v>27093.750000000015</v>
      </c>
      <c r="AU14" s="16">
        <f>AU5*'Key Variables'!$C$10/12</f>
        <v>27687.500000000015</v>
      </c>
      <c r="AV14" s="16">
        <f>AV5*'Key Variables'!$C$10/12</f>
        <v>28281.250000000018</v>
      </c>
      <c r="AW14" s="16">
        <f>AW5*'Key Variables'!$C$10/12</f>
        <v>28875.000000000018</v>
      </c>
      <c r="AX14" s="4">
        <f t="shared" si="2"/>
        <v>714187.5</v>
      </c>
    </row>
    <row r="15" spans="1:51" s="11" customFormat="1" hidden="1" x14ac:dyDescent="0.45">
      <c r="A15" s="10"/>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4"/>
    </row>
    <row r="16" spans="1:51" hidden="1" x14ac:dyDescent="0.45">
      <c r="A16" s="10" t="s">
        <v>75</v>
      </c>
      <c r="B16" s="16">
        <f>B10*(1-'Key Variables'!$C$18)</f>
        <v>13000</v>
      </c>
      <c r="C16" s="16">
        <f>C10*(1-'Key Variables'!$C$18)</f>
        <v>13000</v>
      </c>
      <c r="D16" s="16">
        <f>D10*(1-'Key Variables'!$C$18)</f>
        <v>13000</v>
      </c>
      <c r="E16" s="16">
        <f>E10*(1-'Key Variables'!$C$18)</f>
        <v>13000</v>
      </c>
      <c r="F16" s="16">
        <f>F10*(1-'Key Variables'!$C$18)</f>
        <v>13000</v>
      </c>
      <c r="G16" s="16">
        <f>G10*(1-'Key Variables'!$C$18)</f>
        <v>13000</v>
      </c>
      <c r="H16" s="16">
        <f>H10*(1-'Key Variables'!$C$18)</f>
        <v>13000</v>
      </c>
      <c r="I16" s="16">
        <f>I10*(1-'Key Variables'!$C$18)</f>
        <v>13000</v>
      </c>
      <c r="J16" s="16">
        <f>J10*(1-'Key Variables'!$C$18)</f>
        <v>13000</v>
      </c>
      <c r="K16" s="16">
        <f>K10*(1-'Key Variables'!$C$18)</f>
        <v>13000</v>
      </c>
      <c r="L16" s="16">
        <f>L10*(1-'Key Variables'!$C$18)</f>
        <v>13000</v>
      </c>
      <c r="M16" s="16">
        <f>M10*(1-'Key Variables'!$C$18)</f>
        <v>13000</v>
      </c>
      <c r="N16" s="16">
        <f>N10*(1-'Key Variables'!$C$18)</f>
        <v>13000</v>
      </c>
      <c r="O16" s="16">
        <f>O10*(1-'Key Variables'!$C$18)</f>
        <v>13000</v>
      </c>
      <c r="P16" s="16">
        <f>P10*(1-'Key Variables'!$C$18)</f>
        <v>13000</v>
      </c>
      <c r="Q16" s="16">
        <f>Q10*(1-'Key Variables'!$C$18)</f>
        <v>13000</v>
      </c>
      <c r="R16" s="16">
        <f>R10*(1-'Key Variables'!$C$18)</f>
        <v>13000</v>
      </c>
      <c r="S16" s="16">
        <f>S10*(1-'Key Variables'!$C$18)</f>
        <v>13000</v>
      </c>
      <c r="T16" s="16">
        <f>T10*(1-'Key Variables'!$C$18)</f>
        <v>13000</v>
      </c>
      <c r="U16" s="16">
        <f>U10*(1-'Key Variables'!$C$18)</f>
        <v>13000</v>
      </c>
      <c r="V16" s="16">
        <f>V10*(1-'Key Variables'!$C$18)</f>
        <v>13000</v>
      </c>
      <c r="W16" s="16">
        <f>W10*(1-'Key Variables'!$C$18)</f>
        <v>13000</v>
      </c>
      <c r="X16" s="16">
        <f>X10*(1-'Key Variables'!$C$18)</f>
        <v>13000</v>
      </c>
      <c r="Y16" s="16">
        <f>Y10*(1-'Key Variables'!$C$18)</f>
        <v>13000</v>
      </c>
      <c r="Z16" s="16">
        <f>Z10*(1-'Key Variables'!$C$18)</f>
        <v>13000</v>
      </c>
      <c r="AA16" s="16">
        <f>AA10*(1-'Key Variables'!$C$18)</f>
        <v>13000</v>
      </c>
      <c r="AB16" s="16">
        <f>AB10*(1-'Key Variables'!$C$18)</f>
        <v>13000</v>
      </c>
      <c r="AC16" s="16">
        <f>AC10*(1-'Key Variables'!$C$18)</f>
        <v>13000</v>
      </c>
      <c r="AD16" s="16">
        <f>AD10*(1-'Key Variables'!$C$18)</f>
        <v>13000</v>
      </c>
      <c r="AE16" s="16">
        <f>AE10*(1-'Key Variables'!$C$18)</f>
        <v>13000</v>
      </c>
      <c r="AF16" s="16">
        <f>AF10*(1-'Key Variables'!$C$18)</f>
        <v>13000</v>
      </c>
      <c r="AG16" s="16">
        <f>AG10*(1-'Key Variables'!$C$18)</f>
        <v>13000</v>
      </c>
      <c r="AH16" s="16">
        <f>AH10*(1-'Key Variables'!$C$18)</f>
        <v>13000</v>
      </c>
      <c r="AI16" s="16">
        <f>AI10*(1-'Key Variables'!$C$18)</f>
        <v>13000</v>
      </c>
      <c r="AJ16" s="16">
        <f>AJ10*(1-'Key Variables'!$C$18)</f>
        <v>13000</v>
      </c>
      <c r="AK16" s="16">
        <f>AK10*(1-'Key Variables'!$C$18)</f>
        <v>13000</v>
      </c>
      <c r="AL16" s="16">
        <f>AL10*(1-'Key Variables'!$C$18)</f>
        <v>13000</v>
      </c>
      <c r="AM16" s="16">
        <f>AM10*(1-'Key Variables'!$C$18)</f>
        <v>13000</v>
      </c>
      <c r="AN16" s="16">
        <f>AN10*(1-'Key Variables'!$C$18)</f>
        <v>13000</v>
      </c>
      <c r="AO16" s="16">
        <f>AO10*(1-'Key Variables'!$C$18)</f>
        <v>13000</v>
      </c>
      <c r="AP16" s="16">
        <f>AP10*(1-'Key Variables'!$C$18)</f>
        <v>13000</v>
      </c>
      <c r="AQ16" s="16">
        <f>AQ10*(1-'Key Variables'!$C$18)</f>
        <v>13000</v>
      </c>
      <c r="AR16" s="16">
        <f>AR10*(1-'Key Variables'!$C$18)</f>
        <v>13000</v>
      </c>
      <c r="AS16" s="16">
        <f>AS10*(1-'Key Variables'!$C$18)</f>
        <v>13000</v>
      </c>
      <c r="AT16" s="16">
        <f>AT10*(1-'Key Variables'!$C$18)</f>
        <v>13000</v>
      </c>
      <c r="AU16" s="16">
        <f>AU10*(1-'Key Variables'!$C$18)</f>
        <v>13000</v>
      </c>
      <c r="AV16" s="16">
        <f>AV10*(1-'Key Variables'!$C$18)</f>
        <v>13000</v>
      </c>
      <c r="AW16" s="16">
        <f>AW10*(1-'Key Variables'!$C$18)</f>
        <v>13000</v>
      </c>
      <c r="AX16" s="4">
        <f t="shared" si="2"/>
        <v>624000</v>
      </c>
      <c r="AY16" s="23">
        <f>1-(AX16/AX10)</f>
        <v>0.35</v>
      </c>
    </row>
    <row r="17" spans="1:51" hidden="1" x14ac:dyDescent="0.45">
      <c r="A17" s="10" t="s">
        <v>76</v>
      </c>
      <c r="B17" s="16">
        <f>B11*(1-'Key Variables'!$C$17)</f>
        <v>46.666666666666664</v>
      </c>
      <c r="C17" s="16">
        <f>C11*(1-'Key Variables'!$C$17)</f>
        <v>93.333333333333329</v>
      </c>
      <c r="D17" s="16">
        <f>D11*(1-'Key Variables'!$C$17)</f>
        <v>140</v>
      </c>
      <c r="E17" s="16">
        <f>E11*(1-'Key Variables'!$C$17)</f>
        <v>186.66666666666666</v>
      </c>
      <c r="F17" s="16">
        <f>F11*(1-'Key Variables'!$C$17)</f>
        <v>233.33333333333331</v>
      </c>
      <c r="G17" s="16">
        <f>G11*(1-'Key Variables'!$C$17)</f>
        <v>280</v>
      </c>
      <c r="H17" s="16">
        <f>H11*(1-'Key Variables'!$C$17)</f>
        <v>326.66666666666669</v>
      </c>
      <c r="I17" s="16">
        <f>I11*(1-'Key Variables'!$C$17)</f>
        <v>373.33333333333331</v>
      </c>
      <c r="J17" s="16">
        <f>J11*(1-'Key Variables'!$C$17)</f>
        <v>420</v>
      </c>
      <c r="K17" s="16">
        <f>K11*(1-'Key Variables'!$C$17)</f>
        <v>466.66666666666663</v>
      </c>
      <c r="L17" s="16">
        <f>L11*(1-'Key Variables'!$C$17)</f>
        <v>513.33333333333337</v>
      </c>
      <c r="M17" s="16">
        <f>M11*(1-'Key Variables'!$C$17)</f>
        <v>560</v>
      </c>
      <c r="N17" s="16">
        <f>N11*(1-'Key Variables'!$C$17)</f>
        <v>604.33333333333337</v>
      </c>
      <c r="O17" s="16">
        <f>O11*(1-'Key Variables'!$C$17)</f>
        <v>648.66666666666652</v>
      </c>
      <c r="P17" s="16">
        <f>P11*(1-'Key Variables'!$C$17)</f>
        <v>692.99999999999977</v>
      </c>
      <c r="Q17" s="16">
        <f>Q11*(1-'Key Variables'!$C$17)</f>
        <v>737.33333333333326</v>
      </c>
      <c r="R17" s="16">
        <f>R11*(1-'Key Variables'!$C$17)</f>
        <v>781.6666666666664</v>
      </c>
      <c r="S17" s="16">
        <f>S11*(1-'Key Variables'!$C$17)</f>
        <v>825.99999999999977</v>
      </c>
      <c r="T17" s="16">
        <f>T11*(1-'Key Variables'!$C$17)</f>
        <v>870.33333333333303</v>
      </c>
      <c r="U17" s="16">
        <f>U11*(1-'Key Variables'!$C$17)</f>
        <v>914.66666666666629</v>
      </c>
      <c r="V17" s="16">
        <f>V11*(1-'Key Variables'!$C$17)</f>
        <v>958.99999999999977</v>
      </c>
      <c r="W17" s="16">
        <f>W11*(1-'Key Variables'!$C$17)</f>
        <v>1003.333333333333</v>
      </c>
      <c r="X17" s="16">
        <f>X11*(1-'Key Variables'!$C$17)</f>
        <v>1047.6666666666663</v>
      </c>
      <c r="Y17" s="16">
        <f>Y11*(1-'Key Variables'!$C$17)</f>
        <v>1091.9999999999995</v>
      </c>
      <c r="Z17" s="16">
        <f>Z11*(1-'Key Variables'!$C$17)</f>
        <v>1136.3333333333328</v>
      </c>
      <c r="AA17" s="16">
        <f>AA11*(1-'Key Variables'!$C$17)</f>
        <v>1180.6666666666661</v>
      </c>
      <c r="AB17" s="16">
        <f>AB11*(1-'Key Variables'!$C$17)</f>
        <v>1224.9999999999995</v>
      </c>
      <c r="AC17" s="16">
        <f>AC11*(1-'Key Variables'!$C$17)</f>
        <v>1269.3333333333328</v>
      </c>
      <c r="AD17" s="16">
        <f>AD11*(1-'Key Variables'!$C$17)</f>
        <v>1313.6666666666661</v>
      </c>
      <c r="AE17" s="16">
        <f>AE11*(1-'Key Variables'!$C$17)</f>
        <v>1357.9999999999993</v>
      </c>
      <c r="AF17" s="16">
        <f>AF11*(1-'Key Variables'!$C$17)</f>
        <v>1402.3333333333326</v>
      </c>
      <c r="AG17" s="16">
        <f>AG11*(1-'Key Variables'!$C$17)</f>
        <v>1446.6666666666658</v>
      </c>
      <c r="AH17" s="16">
        <f>AH11*(1-'Key Variables'!$C$17)</f>
        <v>1490.9999999999989</v>
      </c>
      <c r="AI17" s="16">
        <f>AI11*(1-'Key Variables'!$C$17)</f>
        <v>1535.3333333333328</v>
      </c>
      <c r="AJ17" s="16">
        <f>AJ11*(1-'Key Variables'!$C$17)</f>
        <v>1579.6666666666665</v>
      </c>
      <c r="AK17" s="16">
        <f>AK11*(1-'Key Variables'!$C$17)</f>
        <v>1623.9999999999995</v>
      </c>
      <c r="AL17" s="16">
        <f>AL11*(1-'Key Variables'!$C$17)</f>
        <v>1668.3333333333333</v>
      </c>
      <c r="AM17" s="16">
        <f>AM11*(1-'Key Variables'!$C$17)</f>
        <v>1712.6666666666667</v>
      </c>
      <c r="AN17" s="16">
        <f>AN11*(1-'Key Variables'!$C$17)</f>
        <v>1757.0000000000002</v>
      </c>
      <c r="AO17" s="16">
        <f>AO11*(1-'Key Variables'!$C$17)</f>
        <v>1801.3333333333333</v>
      </c>
      <c r="AP17" s="16">
        <f>AP11*(1-'Key Variables'!$C$17)</f>
        <v>1845.666666666667</v>
      </c>
      <c r="AQ17" s="16">
        <f>AQ11*(1-'Key Variables'!$C$17)</f>
        <v>1890.0000000000005</v>
      </c>
      <c r="AR17" s="16">
        <f>AR11*(1-'Key Variables'!$C$17)</f>
        <v>1934.3333333333339</v>
      </c>
      <c r="AS17" s="16">
        <f>AS11*(1-'Key Variables'!$C$17)</f>
        <v>1978.6666666666674</v>
      </c>
      <c r="AT17" s="16">
        <f>AT11*(1-'Key Variables'!$C$17)</f>
        <v>2023.0000000000009</v>
      </c>
      <c r="AU17" s="16">
        <f>AU11*(1-'Key Variables'!$C$17)</f>
        <v>2067.3333333333344</v>
      </c>
      <c r="AV17" s="16">
        <f>AV11*(1-'Key Variables'!$C$17)</f>
        <v>2111.6666666666679</v>
      </c>
      <c r="AW17" s="16">
        <f>AW11*(1-'Key Variables'!$C$17)</f>
        <v>2156.0000000000009</v>
      </c>
      <c r="AX17" s="4">
        <f t="shared" si="2"/>
        <v>53325.999999999985</v>
      </c>
      <c r="AY17" s="23">
        <f>1-(AX17/AX11)</f>
        <v>0.65000000000000013</v>
      </c>
    </row>
    <row r="18" spans="1:51" hidden="1" x14ac:dyDescent="0.45">
      <c r="A18" s="10" t="s">
        <v>77</v>
      </c>
      <c r="B18" s="16">
        <f>B12*(1-'Key Variables'!$C$19)</f>
        <v>68.75</v>
      </c>
      <c r="C18" s="16">
        <f>C12*(1-'Key Variables'!$C$19)</f>
        <v>137.5</v>
      </c>
      <c r="D18" s="16">
        <f>D12*(1-'Key Variables'!$C$19)</f>
        <v>206.25000000000003</v>
      </c>
      <c r="E18" s="16">
        <f>E12*(1-'Key Variables'!$C$19)</f>
        <v>275</v>
      </c>
      <c r="F18" s="16">
        <f>F12*(1-'Key Variables'!$C$19)</f>
        <v>343.75</v>
      </c>
      <c r="G18" s="16">
        <f>G12*(1-'Key Variables'!$C$19)</f>
        <v>412.50000000000006</v>
      </c>
      <c r="H18" s="16">
        <f>H12*(1-'Key Variables'!$C$19)</f>
        <v>481.25000000000006</v>
      </c>
      <c r="I18" s="16">
        <f>I12*(1-'Key Variables'!$C$19)</f>
        <v>550</v>
      </c>
      <c r="J18" s="16">
        <f>J12*(1-'Key Variables'!$C$19)</f>
        <v>618.75</v>
      </c>
      <c r="K18" s="16">
        <f>K12*(1-'Key Variables'!$C$19)</f>
        <v>687.5</v>
      </c>
      <c r="L18" s="16">
        <f>L12*(1-'Key Variables'!$C$19)</f>
        <v>756.25000000000011</v>
      </c>
      <c r="M18" s="16">
        <f>M12*(1-'Key Variables'!$C$19)</f>
        <v>825.00000000000011</v>
      </c>
      <c r="N18" s="16">
        <f>N12*(1-'Key Variables'!$C$19)</f>
        <v>890.31250000000011</v>
      </c>
      <c r="O18" s="16">
        <f>O12*(1-'Key Variables'!$C$19)</f>
        <v>955.625</v>
      </c>
      <c r="P18" s="16">
        <f>P12*(1-'Key Variables'!$C$19)</f>
        <v>1020.9375</v>
      </c>
      <c r="Q18" s="16">
        <f>Q12*(1-'Key Variables'!$C$19)</f>
        <v>1086.2499999999998</v>
      </c>
      <c r="R18" s="16">
        <f>R12*(1-'Key Variables'!$C$19)</f>
        <v>1151.5624999999998</v>
      </c>
      <c r="S18" s="16">
        <f>S12*(1-'Key Variables'!$C$19)</f>
        <v>1216.8749999999998</v>
      </c>
      <c r="T18" s="16">
        <f>T12*(1-'Key Variables'!$C$19)</f>
        <v>1282.1874999999998</v>
      </c>
      <c r="U18" s="16">
        <f>U12*(1-'Key Variables'!$C$19)</f>
        <v>1347.4999999999995</v>
      </c>
      <c r="V18" s="16">
        <f>V12*(1-'Key Variables'!$C$19)</f>
        <v>1412.8124999999993</v>
      </c>
      <c r="W18" s="16">
        <f>W12*(1-'Key Variables'!$C$19)</f>
        <v>1478.1249999999995</v>
      </c>
      <c r="X18" s="16">
        <f>X12*(1-'Key Variables'!$C$19)</f>
        <v>1543.4374999999993</v>
      </c>
      <c r="Y18" s="16">
        <f>Y12*(1-'Key Variables'!$C$19)</f>
        <v>1608.7499999999993</v>
      </c>
      <c r="Z18" s="16">
        <f>Z12*(1-'Key Variables'!$C$19)</f>
        <v>1674.0624999999998</v>
      </c>
      <c r="AA18" s="16">
        <f>AA12*(1-'Key Variables'!$C$19)</f>
        <v>1739.3749999999991</v>
      </c>
      <c r="AB18" s="16">
        <f>AB12*(1-'Key Variables'!$C$19)</f>
        <v>1804.6874999999993</v>
      </c>
      <c r="AC18" s="16">
        <f>AC12*(1-'Key Variables'!$C$19)</f>
        <v>1869.9999999999993</v>
      </c>
      <c r="AD18" s="16">
        <f>AD12*(1-'Key Variables'!$C$19)</f>
        <v>1935.3124999999993</v>
      </c>
      <c r="AE18" s="16">
        <f>AE12*(1-'Key Variables'!$C$19)</f>
        <v>2000.6249999999993</v>
      </c>
      <c r="AF18" s="16">
        <f>AF12*(1-'Key Variables'!$C$19)</f>
        <v>2065.9374999999991</v>
      </c>
      <c r="AG18" s="16">
        <f>AG12*(1-'Key Variables'!$C$19)</f>
        <v>2131.2499999999991</v>
      </c>
      <c r="AH18" s="16">
        <f>AH12*(1-'Key Variables'!$C$19)</f>
        <v>2196.5624999999991</v>
      </c>
      <c r="AI18" s="16">
        <f>AI12*(1-'Key Variables'!$C$19)</f>
        <v>2261.8749999999995</v>
      </c>
      <c r="AJ18" s="16">
        <f>AJ12*(1-'Key Variables'!$C$19)</f>
        <v>2327.1874999999995</v>
      </c>
      <c r="AK18" s="16">
        <f>AK12*(1-'Key Variables'!$C$19)</f>
        <v>2392.5</v>
      </c>
      <c r="AL18" s="16">
        <f>AL12*(1-'Key Variables'!$C$19)</f>
        <v>2457.8125</v>
      </c>
      <c r="AM18" s="16">
        <f>AM12*(1-'Key Variables'!$C$19)</f>
        <v>2523.125</v>
      </c>
      <c r="AN18" s="16">
        <f>AN12*(1-'Key Variables'!$C$19)</f>
        <v>2588.4375000000009</v>
      </c>
      <c r="AO18" s="16">
        <f>AO12*(1-'Key Variables'!$C$19)</f>
        <v>2653.7500000000009</v>
      </c>
      <c r="AP18" s="16">
        <f>AP12*(1-'Key Variables'!$C$19)</f>
        <v>2719.0625000000014</v>
      </c>
      <c r="AQ18" s="16">
        <f>AQ12*(1-'Key Variables'!$C$19)</f>
        <v>2784.3750000000014</v>
      </c>
      <c r="AR18" s="16">
        <f>AR12*(1-'Key Variables'!$C$19)</f>
        <v>2849.6875000000014</v>
      </c>
      <c r="AS18" s="16">
        <f>AS12*(1-'Key Variables'!$C$19)</f>
        <v>2915.0000000000018</v>
      </c>
      <c r="AT18" s="16">
        <f>AT12*(1-'Key Variables'!$C$19)</f>
        <v>2980.3125000000018</v>
      </c>
      <c r="AU18" s="16">
        <f>AU12*(1-'Key Variables'!$C$19)</f>
        <v>3045.6250000000018</v>
      </c>
      <c r="AV18" s="16">
        <f>AV12*(1-'Key Variables'!$C$19)</f>
        <v>3110.9375000000023</v>
      </c>
      <c r="AW18" s="16">
        <f>AW12*(1-'Key Variables'!$C$19)</f>
        <v>3176.2500000000023</v>
      </c>
      <c r="AX18" s="4">
        <f t="shared" si="2"/>
        <v>78560.625</v>
      </c>
      <c r="AY18" s="24">
        <f>1-(AX18/AX12)</f>
        <v>0.44999999999999996</v>
      </c>
    </row>
    <row r="19" spans="1:51" hidden="1" x14ac:dyDescent="0.45">
      <c r="A19" s="10" t="s">
        <v>84</v>
      </c>
      <c r="B19" s="16">
        <f>B13*(1-'Key Variables'!$C$18)</f>
        <v>0</v>
      </c>
      <c r="C19" s="16">
        <f>C13*(1-'Key Variables'!$C$18)</f>
        <v>0</v>
      </c>
      <c r="D19" s="16">
        <f>D13*(1-'Key Variables'!$C$18)</f>
        <v>0</v>
      </c>
      <c r="E19" s="16">
        <f>E13*(1-'Key Variables'!$C$18)</f>
        <v>0</v>
      </c>
      <c r="F19" s="16">
        <f>F13*(1-'Key Variables'!$C$18)</f>
        <v>0</v>
      </c>
      <c r="G19" s="16">
        <f>G13*(1-'Key Variables'!$C$18)</f>
        <v>0</v>
      </c>
      <c r="H19" s="16">
        <f>H13*(1-'Key Variables'!$C$18)</f>
        <v>135.41666666666669</v>
      </c>
      <c r="I19" s="16">
        <f>I13*(1-'Key Variables'!$C$18)</f>
        <v>270.83333333333337</v>
      </c>
      <c r="J19" s="16">
        <f>J13*(1-'Key Variables'!$C$18)</f>
        <v>406.25</v>
      </c>
      <c r="K19" s="16">
        <f>K13*(1-'Key Variables'!$C$18)</f>
        <v>541.66666666666674</v>
      </c>
      <c r="L19" s="16">
        <f>L13*(1-'Key Variables'!$C$18)</f>
        <v>677.08333333333337</v>
      </c>
      <c r="M19" s="16">
        <f>M13*(1-'Key Variables'!$C$18)</f>
        <v>812.5</v>
      </c>
      <c r="N19" s="16">
        <f>N13*(1-'Key Variables'!$C$18)</f>
        <v>947.91666666666663</v>
      </c>
      <c r="O19" s="16">
        <f>O13*(1-'Key Variables'!$C$18)</f>
        <v>1083.3333333333335</v>
      </c>
      <c r="P19" s="16">
        <f>P13*(1-'Key Variables'!$C$18)</f>
        <v>1218.75</v>
      </c>
      <c r="Q19" s="16">
        <f>Q13*(1-'Key Variables'!$C$18)</f>
        <v>1354.1666666666667</v>
      </c>
      <c r="R19" s="16">
        <f>R13*(1-'Key Variables'!$C$18)</f>
        <v>1489.5833333333333</v>
      </c>
      <c r="S19" s="16">
        <f>S13*(1-'Key Variables'!$C$18)</f>
        <v>1625</v>
      </c>
      <c r="T19" s="16">
        <f>T13*(1-'Key Variables'!$C$18)</f>
        <v>1753.6458333333333</v>
      </c>
      <c r="U19" s="16">
        <f>U13*(1-'Key Variables'!$C$18)</f>
        <v>1882.2916666666667</v>
      </c>
      <c r="V19" s="16">
        <f>V13*(1-'Key Variables'!$C$18)</f>
        <v>2010.9374999999998</v>
      </c>
      <c r="W19" s="16">
        <f>W13*(1-'Key Variables'!$C$18)</f>
        <v>2139.583333333333</v>
      </c>
      <c r="X19" s="16">
        <f>X13*(1-'Key Variables'!$C$18)</f>
        <v>2268.2291666666661</v>
      </c>
      <c r="Y19" s="16">
        <f>Y13*(1-'Key Variables'!$C$18)</f>
        <v>2396.875</v>
      </c>
      <c r="Z19" s="16">
        <f>Z13*(1-'Key Variables'!$C$18)</f>
        <v>2525.5208333333326</v>
      </c>
      <c r="AA19" s="16">
        <f>AA13*(1-'Key Variables'!$C$18)</f>
        <v>2654.1666666666661</v>
      </c>
      <c r="AB19" s="16">
        <f>AB13*(1-'Key Variables'!$C$18)</f>
        <v>2782.8124999999995</v>
      </c>
      <c r="AC19" s="16">
        <f>AC13*(1-'Key Variables'!$C$18)</f>
        <v>2911.4583333333326</v>
      </c>
      <c r="AD19" s="16">
        <f>AD13*(1-'Key Variables'!$C$18)</f>
        <v>3040.1041666666656</v>
      </c>
      <c r="AE19" s="16">
        <f>AE13*(1-'Key Variables'!$C$18)</f>
        <v>3168.7499999999991</v>
      </c>
      <c r="AF19" s="16">
        <f>AF13*(1-'Key Variables'!$C$18)</f>
        <v>3297.3958333333326</v>
      </c>
      <c r="AG19" s="16">
        <f>AG13*(1-'Key Variables'!$C$18)</f>
        <v>3426.0416666666656</v>
      </c>
      <c r="AH19" s="16">
        <f>AH13*(1-'Key Variables'!$C$18)</f>
        <v>3554.6874999999982</v>
      </c>
      <c r="AI19" s="16">
        <f>AI13*(1-'Key Variables'!$C$18)</f>
        <v>3683.3333333333317</v>
      </c>
      <c r="AJ19" s="16">
        <f>AJ13*(1-'Key Variables'!$C$18)</f>
        <v>3811.9791666666656</v>
      </c>
      <c r="AK19" s="16">
        <f>AK13*(1-'Key Variables'!$C$18)</f>
        <v>3940.6249999999982</v>
      </c>
      <c r="AL19" s="16">
        <f>AL13*(1-'Key Variables'!$C$18)</f>
        <v>4069.2708333333321</v>
      </c>
      <c r="AM19" s="16">
        <f>AM13*(1-'Key Variables'!$C$18)</f>
        <v>4197.9166666666652</v>
      </c>
      <c r="AN19" s="16">
        <f>AN13*(1-'Key Variables'!$C$18)</f>
        <v>4326.5624999999982</v>
      </c>
      <c r="AO19" s="16">
        <f>AO13*(1-'Key Variables'!$C$18)</f>
        <v>4455.2083333333321</v>
      </c>
      <c r="AP19" s="16">
        <f>AP13*(1-'Key Variables'!$C$18)</f>
        <v>4583.8541666666661</v>
      </c>
      <c r="AQ19" s="16">
        <f>AQ13*(1-'Key Variables'!$C$18)</f>
        <v>4712.5</v>
      </c>
      <c r="AR19" s="16">
        <f>AR13*(1-'Key Variables'!$C$18)</f>
        <v>4841.1458333333339</v>
      </c>
      <c r="AS19" s="16">
        <f>AS13*(1-'Key Variables'!$C$18)</f>
        <v>4969.791666666667</v>
      </c>
      <c r="AT19" s="16">
        <f>AT13*(1-'Key Variables'!$C$18)</f>
        <v>5098.4375000000009</v>
      </c>
      <c r="AU19" s="16">
        <f>AU13*(1-'Key Variables'!$C$18)</f>
        <v>5227.0833333333339</v>
      </c>
      <c r="AV19" s="16">
        <f>AV13*(1-'Key Variables'!$C$18)</f>
        <v>5355.7291666666688</v>
      </c>
      <c r="AW19" s="16">
        <f>AW13*(1-'Key Variables'!$C$18)</f>
        <v>5484.3750000000018</v>
      </c>
      <c r="AX19" s="4">
        <f t="shared" si="2"/>
        <v>119132.8125</v>
      </c>
      <c r="AY19" s="24" t="e">
        <f>1-(AX19/AX13)</f>
        <v>#REF!</v>
      </c>
    </row>
    <row r="20" spans="1:51" hidden="1" x14ac:dyDescent="0.45">
      <c r="A20" s="10" t="s">
        <v>79</v>
      </c>
      <c r="B20" s="16">
        <f>B14*(1-'Key Variables'!$C$16)</f>
        <v>500</v>
      </c>
      <c r="C20" s="16">
        <f>C14*(1-'Key Variables'!$C$16)</f>
        <v>1000</v>
      </c>
      <c r="D20" s="16">
        <f>D14*(1-'Key Variables'!$C$16)</f>
        <v>1500</v>
      </c>
      <c r="E20" s="16">
        <f>E14*(1-'Key Variables'!$C$16)</f>
        <v>2000</v>
      </c>
      <c r="F20" s="16">
        <f>F14*(1-'Key Variables'!$C$16)</f>
        <v>2500</v>
      </c>
      <c r="G20" s="16">
        <f>G14*(1-'Key Variables'!$C$16)</f>
        <v>3000</v>
      </c>
      <c r="H20" s="16">
        <f>H14*(1-'Key Variables'!$C$16)</f>
        <v>3500</v>
      </c>
      <c r="I20" s="16">
        <f>I14*(1-'Key Variables'!$C$16)</f>
        <v>4000</v>
      </c>
      <c r="J20" s="16">
        <f>J14*(1-'Key Variables'!$C$16)</f>
        <v>4500</v>
      </c>
      <c r="K20" s="16">
        <f>K14*(1-'Key Variables'!$C$16)</f>
        <v>5000</v>
      </c>
      <c r="L20" s="16">
        <f>L14*(1-'Key Variables'!$C$16)</f>
        <v>5500</v>
      </c>
      <c r="M20" s="16">
        <f>M14*(1-'Key Variables'!$C$16)</f>
        <v>6000</v>
      </c>
      <c r="N20" s="16">
        <f>N14*(1-'Key Variables'!$C$16)</f>
        <v>6475</v>
      </c>
      <c r="O20" s="16">
        <f>O14*(1-'Key Variables'!$C$16)</f>
        <v>6949.9999999999991</v>
      </c>
      <c r="P20" s="16">
        <f>P14*(1-'Key Variables'!$C$16)</f>
        <v>7424.9999999999991</v>
      </c>
      <c r="Q20" s="16">
        <f>Q14*(1-'Key Variables'!$C$16)</f>
        <v>7899.9999999999991</v>
      </c>
      <c r="R20" s="16">
        <f>R14*(1-'Key Variables'!$C$16)</f>
        <v>8374.9999999999982</v>
      </c>
      <c r="S20" s="16">
        <f>S14*(1-'Key Variables'!$C$16)</f>
        <v>8849.9999999999982</v>
      </c>
      <c r="T20" s="16">
        <f>T14*(1-'Key Variables'!$C$16)</f>
        <v>9324.9999999999982</v>
      </c>
      <c r="U20" s="16">
        <f>U14*(1-'Key Variables'!$C$16)</f>
        <v>9799.9999999999982</v>
      </c>
      <c r="V20" s="16">
        <f>V14*(1-'Key Variables'!$C$16)</f>
        <v>10274.999999999996</v>
      </c>
      <c r="W20" s="16">
        <f>W14*(1-'Key Variables'!$C$16)</f>
        <v>10749.999999999996</v>
      </c>
      <c r="X20" s="16">
        <f>X14*(1-'Key Variables'!$C$16)</f>
        <v>11224.999999999996</v>
      </c>
      <c r="Y20" s="16">
        <f>Y14*(1-'Key Variables'!$C$16)</f>
        <v>11699.999999999996</v>
      </c>
      <c r="Z20" s="16">
        <f>Z14*(1-'Key Variables'!$C$16)</f>
        <v>12174.999999999996</v>
      </c>
      <c r="AA20" s="16">
        <f>AA14*(1-'Key Variables'!$C$16)</f>
        <v>12649.999999999995</v>
      </c>
      <c r="AB20" s="16">
        <f>AB14*(1-'Key Variables'!$C$16)</f>
        <v>13124.999999999995</v>
      </c>
      <c r="AC20" s="16">
        <f>AC14*(1-'Key Variables'!$C$16)</f>
        <v>13599.999999999995</v>
      </c>
      <c r="AD20" s="16">
        <f>AD14*(1-'Key Variables'!$C$16)</f>
        <v>14074.999999999995</v>
      </c>
      <c r="AE20" s="16">
        <f>AE14*(1-'Key Variables'!$C$16)</f>
        <v>14549.999999999995</v>
      </c>
      <c r="AF20" s="16">
        <f>AF14*(1-'Key Variables'!$C$16)</f>
        <v>15024.999999999995</v>
      </c>
      <c r="AG20" s="16">
        <f>AG14*(1-'Key Variables'!$C$16)</f>
        <v>15499.999999999993</v>
      </c>
      <c r="AH20" s="16">
        <f>AH14*(1-'Key Variables'!$C$16)</f>
        <v>15974.999999999993</v>
      </c>
      <c r="AI20" s="16">
        <f>AI14*(1-'Key Variables'!$C$16)</f>
        <v>16449.999999999996</v>
      </c>
      <c r="AJ20" s="16">
        <f>AJ14*(1-'Key Variables'!$C$16)</f>
        <v>16924.999999999996</v>
      </c>
      <c r="AK20" s="16">
        <f>AK14*(1-'Key Variables'!$C$16)</f>
        <v>17399.999999999996</v>
      </c>
      <c r="AL20" s="16">
        <f>AL14*(1-'Key Variables'!$C$16)</f>
        <v>17875</v>
      </c>
      <c r="AM20" s="16">
        <f>AM14*(1-'Key Variables'!$C$16)</f>
        <v>18350</v>
      </c>
      <c r="AN20" s="16">
        <f>AN14*(1-'Key Variables'!$C$16)</f>
        <v>18825.000000000004</v>
      </c>
      <c r="AO20" s="16">
        <f>AO14*(1-'Key Variables'!$C$16)</f>
        <v>19300.000000000004</v>
      </c>
      <c r="AP20" s="16">
        <f>AP14*(1-'Key Variables'!$C$16)</f>
        <v>19775.000000000004</v>
      </c>
      <c r="AQ20" s="16">
        <f>AQ14*(1-'Key Variables'!$C$16)</f>
        <v>20250.000000000011</v>
      </c>
      <c r="AR20" s="16">
        <f>AR14*(1-'Key Variables'!$C$16)</f>
        <v>20725.000000000011</v>
      </c>
      <c r="AS20" s="16">
        <f>AS14*(1-'Key Variables'!$C$16)</f>
        <v>21200.000000000015</v>
      </c>
      <c r="AT20" s="16">
        <f>AT14*(1-'Key Variables'!$C$16)</f>
        <v>21675.000000000015</v>
      </c>
      <c r="AU20" s="16">
        <f>AU14*(1-'Key Variables'!$C$16)</f>
        <v>22150.000000000015</v>
      </c>
      <c r="AV20" s="16">
        <f>AV14*(1-'Key Variables'!$C$16)</f>
        <v>22625.000000000015</v>
      </c>
      <c r="AW20" s="16">
        <f>AW14*(1-'Key Variables'!$C$16)</f>
        <v>23100.000000000015</v>
      </c>
      <c r="AX20" s="4">
        <f t="shared" si="2"/>
        <v>571350</v>
      </c>
      <c r="AY20" s="24">
        <f>1-(AX20/AX14)</f>
        <v>0.19999999999999996</v>
      </c>
    </row>
    <row r="21" spans="1:51" hidden="1" x14ac:dyDescent="0.45">
      <c r="A21" s="1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row>
    <row r="22" spans="1:51" hidden="1" x14ac:dyDescent="0.45">
      <c r="A22" s="1" t="s">
        <v>92</v>
      </c>
      <c r="B22" s="4">
        <f>'Key Variables'!$G$7/12</f>
        <v>6526.5625</v>
      </c>
      <c r="C22" s="4">
        <f>'Key Variables'!$G$7/12</f>
        <v>6526.5625</v>
      </c>
      <c r="D22" s="4">
        <f>'Key Variables'!$G$7/12</f>
        <v>6526.5625</v>
      </c>
      <c r="E22" s="4">
        <f>'Key Variables'!$G$7/12</f>
        <v>6526.5625</v>
      </c>
      <c r="F22" s="4">
        <f>'Key Variables'!$G$7/12</f>
        <v>6526.5625</v>
      </c>
      <c r="G22" s="4">
        <f>'Key Variables'!$G$7/12</f>
        <v>6526.5625</v>
      </c>
      <c r="H22" s="4">
        <f>'Key Variables'!$G$7/12</f>
        <v>6526.5625</v>
      </c>
      <c r="I22" s="4">
        <f>'Key Variables'!$G$7/12</f>
        <v>6526.5625</v>
      </c>
      <c r="J22" s="4">
        <f>'Key Variables'!$G$7/12</f>
        <v>6526.5625</v>
      </c>
      <c r="K22" s="4">
        <f>'Key Variables'!$G$7/12</f>
        <v>6526.5625</v>
      </c>
      <c r="L22" s="4">
        <f>'Key Variables'!$G$7/12</f>
        <v>6526.5625</v>
      </c>
      <c r="M22" s="4">
        <f>'Key Variables'!$G$7/12</f>
        <v>6526.5625</v>
      </c>
      <c r="N22" s="4">
        <f>'Key Variables'!$H$7/12</f>
        <v>7728.104166666667</v>
      </c>
      <c r="O22" s="4">
        <f>'Key Variables'!$H$7/12</f>
        <v>7728.104166666667</v>
      </c>
      <c r="P22" s="4">
        <f>'Key Variables'!$H$7/12</f>
        <v>7728.104166666667</v>
      </c>
      <c r="Q22" s="4">
        <f>'Key Variables'!$H$7/12</f>
        <v>7728.104166666667</v>
      </c>
      <c r="R22" s="4">
        <f>'Key Variables'!$H$7/12</f>
        <v>7728.104166666667</v>
      </c>
      <c r="S22" s="4">
        <f>'Key Variables'!$H$7/12</f>
        <v>7728.104166666667</v>
      </c>
      <c r="T22" s="4">
        <f>'Key Variables'!$H$7/12</f>
        <v>7728.104166666667</v>
      </c>
      <c r="U22" s="4">
        <f>'Key Variables'!$H$7/12</f>
        <v>7728.104166666667</v>
      </c>
      <c r="V22" s="4">
        <f>'Key Variables'!$H$7/12</f>
        <v>7728.104166666667</v>
      </c>
      <c r="W22" s="4">
        <f>'Key Variables'!$H$7/12</f>
        <v>7728.104166666667</v>
      </c>
      <c r="X22" s="4">
        <f>'Key Variables'!$H$7/12</f>
        <v>7728.104166666667</v>
      </c>
      <c r="Y22" s="4">
        <f>'Key Variables'!$H$7/12</f>
        <v>7728.104166666667</v>
      </c>
      <c r="Z22" s="4">
        <f>'Key Variables'!$J$7/12</f>
        <v>7664.78125</v>
      </c>
      <c r="AA22" s="4">
        <f>'Key Variables'!$J$7/12</f>
        <v>7664.78125</v>
      </c>
      <c r="AB22" s="4">
        <f>'Key Variables'!$J$7/12</f>
        <v>7664.78125</v>
      </c>
      <c r="AC22" s="4">
        <f>'Key Variables'!$J$7/12</f>
        <v>7664.78125</v>
      </c>
      <c r="AD22" s="4">
        <f>'Key Variables'!$J$7/12</f>
        <v>7664.78125</v>
      </c>
      <c r="AE22" s="4">
        <f>'Key Variables'!$J$7/12</f>
        <v>7664.78125</v>
      </c>
      <c r="AF22" s="4">
        <f>'Key Variables'!$J$7/12</f>
        <v>7664.78125</v>
      </c>
      <c r="AG22" s="4">
        <f>'Key Variables'!$J$7/12</f>
        <v>7664.78125</v>
      </c>
      <c r="AH22" s="4">
        <f>'Key Variables'!$J$7/12</f>
        <v>7664.78125</v>
      </c>
      <c r="AI22" s="4">
        <f>'Key Variables'!$J$7/12</f>
        <v>7664.78125</v>
      </c>
      <c r="AJ22" s="4">
        <f>'Key Variables'!$J$7/12</f>
        <v>7664.78125</v>
      </c>
      <c r="AK22" s="4">
        <f>'Key Variables'!$J$7/12</f>
        <v>7664.78125</v>
      </c>
      <c r="AL22" s="4">
        <f>'Key Variables'!$K$7/12</f>
        <v>9531.53125</v>
      </c>
      <c r="AM22" s="4">
        <f>'Key Variables'!$K$7/12</f>
        <v>9531.53125</v>
      </c>
      <c r="AN22" s="4">
        <f>'Key Variables'!$K$7/12</f>
        <v>9531.53125</v>
      </c>
      <c r="AO22" s="4">
        <f>'Key Variables'!$K$7/12</f>
        <v>9531.53125</v>
      </c>
      <c r="AP22" s="4">
        <f>'Key Variables'!$K$7/12</f>
        <v>9531.53125</v>
      </c>
      <c r="AQ22" s="4">
        <f>'Key Variables'!$K$7/12</f>
        <v>9531.53125</v>
      </c>
      <c r="AR22" s="4">
        <f>'Key Variables'!$K$7/12</f>
        <v>9531.53125</v>
      </c>
      <c r="AS22" s="4">
        <f>'Key Variables'!$K$7/12</f>
        <v>9531.53125</v>
      </c>
      <c r="AT22" s="4">
        <f>'Key Variables'!$K$7/12</f>
        <v>9531.53125</v>
      </c>
      <c r="AU22" s="4">
        <f>'Key Variables'!$K$7/12</f>
        <v>9531.53125</v>
      </c>
      <c r="AV22" s="4">
        <f>'Key Variables'!$K$7/12</f>
        <v>9531.53125</v>
      </c>
      <c r="AW22" s="4">
        <f>'Key Variables'!$K$7/12</f>
        <v>9531.53125</v>
      </c>
    </row>
    <row r="23" spans="1:51" hidden="1" x14ac:dyDescent="0.45">
      <c r="A23" s="1" t="s">
        <v>14</v>
      </c>
      <c r="B23" s="4">
        <f>'Key Variables'!$G$11/12</f>
        <v>4166.666666666667</v>
      </c>
      <c r="C23" s="4">
        <f>'Key Variables'!$G$11/12</f>
        <v>4166.666666666667</v>
      </c>
      <c r="D23" s="4">
        <f>'Key Variables'!$G$11/12</f>
        <v>4166.666666666667</v>
      </c>
      <c r="E23" s="4">
        <f>'Key Variables'!$G$11/12</f>
        <v>4166.666666666667</v>
      </c>
      <c r="F23" s="4">
        <f>'Key Variables'!$G$11/12</f>
        <v>4166.666666666667</v>
      </c>
      <c r="G23" s="4">
        <f>'Key Variables'!$G$11/12</f>
        <v>4166.666666666667</v>
      </c>
      <c r="H23" s="4">
        <f>'Key Variables'!$G$11/12</f>
        <v>4166.666666666667</v>
      </c>
      <c r="I23" s="4">
        <f>'Key Variables'!$G$11/12</f>
        <v>4166.666666666667</v>
      </c>
      <c r="J23" s="4">
        <f>'Key Variables'!$G$11/12</f>
        <v>4166.666666666667</v>
      </c>
      <c r="K23" s="4">
        <f>'Key Variables'!$G$11/12</f>
        <v>4166.666666666667</v>
      </c>
      <c r="L23" s="4">
        <f>'Key Variables'!$G$11/12</f>
        <v>4166.666666666667</v>
      </c>
      <c r="M23" s="4">
        <f>'Key Variables'!$G$11/12</f>
        <v>4166.666666666667</v>
      </c>
      <c r="N23" s="4">
        <f>'Key Variables'!$H$11/12</f>
        <v>4166.666666666667</v>
      </c>
      <c r="O23" s="4">
        <f>'Key Variables'!$H$11/12</f>
        <v>4166.666666666667</v>
      </c>
      <c r="P23" s="4">
        <f>'Key Variables'!$H$11/12</f>
        <v>4166.666666666667</v>
      </c>
      <c r="Q23" s="4">
        <f>'Key Variables'!$H$11/12</f>
        <v>4166.666666666667</v>
      </c>
      <c r="R23" s="4">
        <f>'Key Variables'!$H$11/12</f>
        <v>4166.666666666667</v>
      </c>
      <c r="S23" s="4">
        <f>'Key Variables'!$H$11/12</f>
        <v>4166.666666666667</v>
      </c>
      <c r="T23" s="4">
        <f>'Key Variables'!$H$11/12</f>
        <v>4166.666666666667</v>
      </c>
      <c r="U23" s="4">
        <f>'Key Variables'!$H$11/12</f>
        <v>4166.666666666667</v>
      </c>
      <c r="V23" s="4">
        <f>'Key Variables'!$H$11/12</f>
        <v>4166.666666666667</v>
      </c>
      <c r="W23" s="4">
        <f>'Key Variables'!$H$11/12</f>
        <v>4166.666666666667</v>
      </c>
      <c r="X23" s="4">
        <f>'Key Variables'!$H$11/12</f>
        <v>4166.666666666667</v>
      </c>
      <c r="Y23" s="4">
        <f>'Key Variables'!$H$11/12</f>
        <v>4166.666666666667</v>
      </c>
      <c r="Z23" s="4">
        <f>'Key Variables'!$J$11/12</f>
        <v>4166.666666666667</v>
      </c>
      <c r="AA23" s="4">
        <f>'Key Variables'!$J$11/12</f>
        <v>4166.666666666667</v>
      </c>
      <c r="AB23" s="4">
        <f>'Key Variables'!$J$11/12</f>
        <v>4166.666666666667</v>
      </c>
      <c r="AC23" s="4">
        <f>'Key Variables'!$J$11/12</f>
        <v>4166.666666666667</v>
      </c>
      <c r="AD23" s="4">
        <f>'Key Variables'!$J$11/12</f>
        <v>4166.666666666667</v>
      </c>
      <c r="AE23" s="4">
        <f>'Key Variables'!$J$11/12</f>
        <v>4166.666666666667</v>
      </c>
      <c r="AF23" s="4">
        <f>'Key Variables'!$J$11/12</f>
        <v>4166.666666666667</v>
      </c>
      <c r="AG23" s="4">
        <f>'Key Variables'!$J$11/12</f>
        <v>4166.666666666667</v>
      </c>
      <c r="AH23" s="4">
        <f>'Key Variables'!$J$11/12</f>
        <v>4166.666666666667</v>
      </c>
      <c r="AI23" s="4">
        <f>'Key Variables'!$J$11/12</f>
        <v>4166.666666666667</v>
      </c>
      <c r="AJ23" s="4">
        <f>'Key Variables'!$J$11/12</f>
        <v>4166.666666666667</v>
      </c>
      <c r="AK23" s="4">
        <f>'Key Variables'!$J$11/12</f>
        <v>4166.666666666667</v>
      </c>
      <c r="AL23" s="4">
        <f>'Key Variables'!$K$11/12</f>
        <v>4166.666666666667</v>
      </c>
      <c r="AM23" s="4">
        <f>'Key Variables'!$K$11/12</f>
        <v>4166.666666666667</v>
      </c>
      <c r="AN23" s="4">
        <f>'Key Variables'!$K$11/12</f>
        <v>4166.666666666667</v>
      </c>
      <c r="AO23" s="4">
        <f>'Key Variables'!$K$11/12</f>
        <v>4166.666666666667</v>
      </c>
      <c r="AP23" s="4">
        <f>'Key Variables'!$K$11/12</f>
        <v>4166.666666666667</v>
      </c>
      <c r="AQ23" s="4">
        <f>'Key Variables'!$K$11/12</f>
        <v>4166.666666666667</v>
      </c>
      <c r="AR23" s="4">
        <f>'Key Variables'!$K$11/12</f>
        <v>4166.666666666667</v>
      </c>
      <c r="AS23" s="4">
        <f>'Key Variables'!$K$11/12</f>
        <v>4166.666666666667</v>
      </c>
      <c r="AT23" s="4">
        <f>'Key Variables'!$K$11/12</f>
        <v>4166.666666666667</v>
      </c>
      <c r="AU23" s="4">
        <f>'Key Variables'!$K$11/12</f>
        <v>4166.666666666667</v>
      </c>
      <c r="AV23" s="4">
        <f>'Key Variables'!$K$11/12</f>
        <v>4166.666666666667</v>
      </c>
      <c r="AW23" s="4">
        <f>'Key Variables'!$K$11/12</f>
        <v>4166.666666666667</v>
      </c>
    </row>
    <row r="24" spans="1:51" hidden="1" x14ac:dyDescent="0.4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51" hidden="1" x14ac:dyDescent="0.45">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51" hidden="1" x14ac:dyDescent="0.45">
      <c r="A26" s="1" t="s">
        <v>26</v>
      </c>
      <c r="B26" s="4">
        <f>SUM(B10:B14)-SUM(B16:B23)</f>
        <v>-3425.3125</v>
      </c>
      <c r="C26" s="4">
        <f>SUM(C10:C14)-SUM(C16:C23)</f>
        <v>-3157.3958333333358</v>
      </c>
      <c r="D26" s="4">
        <f t="shared" ref="D26:AW26" si="3">SUM(D10:D14)-SUM(D16:D23)</f>
        <v>-2889.4791666666679</v>
      </c>
      <c r="E26" s="4">
        <f t="shared" si="3"/>
        <v>-2621.5625</v>
      </c>
      <c r="F26" s="4">
        <f>SUM(F10:F14)-SUM(F16:F23)</f>
        <v>-2353.6458333333358</v>
      </c>
      <c r="G26" s="4">
        <f t="shared" si="3"/>
        <v>-2085.7291666666679</v>
      </c>
      <c r="H26" s="4">
        <f t="shared" si="3"/>
        <v>-1744.8958333333358</v>
      </c>
      <c r="I26" s="4">
        <f t="shared" si="3"/>
        <v>-1404.0625</v>
      </c>
      <c r="J26" s="4">
        <f t="shared" si="3"/>
        <v>-1063.2291666666679</v>
      </c>
      <c r="K26" s="4">
        <f t="shared" si="3"/>
        <v>-722.39583333333576</v>
      </c>
      <c r="L26" s="4">
        <f t="shared" si="3"/>
        <v>-381.5625</v>
      </c>
      <c r="M26" s="4">
        <f t="shared" si="3"/>
        <v>-40.729166666667879</v>
      </c>
      <c r="N26" s="4">
        <f t="shared" si="3"/>
        <v>-914.83333333333576</v>
      </c>
      <c r="O26" s="4">
        <f t="shared" si="3"/>
        <v>-587.39583333333576</v>
      </c>
      <c r="P26" s="4">
        <f t="shared" si="3"/>
        <v>-259.95833333333576</v>
      </c>
      <c r="Q26" s="4">
        <f t="shared" si="3"/>
        <v>67.479166666664241</v>
      </c>
      <c r="R26" s="4">
        <f t="shared" si="3"/>
        <v>394.91666666666424</v>
      </c>
      <c r="S26" s="4">
        <f t="shared" si="3"/>
        <v>722.35416666667152</v>
      </c>
      <c r="T26" s="4">
        <f t="shared" si="3"/>
        <v>1046.1458333333358</v>
      </c>
      <c r="U26" s="4">
        <f t="shared" si="3"/>
        <v>1369.9375000000073</v>
      </c>
      <c r="V26" s="4">
        <f t="shared" si="3"/>
        <v>1693.7291666666642</v>
      </c>
      <c r="W26" s="4">
        <f t="shared" si="3"/>
        <v>2017.5208333333285</v>
      </c>
      <c r="X26" s="4">
        <f t="shared" si="3"/>
        <v>2341.3125</v>
      </c>
      <c r="Y26" s="4">
        <f t="shared" si="3"/>
        <v>2665.1041666666642</v>
      </c>
      <c r="Z26" s="4">
        <f t="shared" si="3"/>
        <v>3052.21875</v>
      </c>
      <c r="AA26" s="4">
        <f t="shared" si="3"/>
        <v>3376.0104166666715</v>
      </c>
      <c r="AB26" s="4">
        <f t="shared" si="3"/>
        <v>3699.8020833333358</v>
      </c>
      <c r="AC26" s="4">
        <f t="shared" si="3"/>
        <v>4023.59375</v>
      </c>
      <c r="AD26" s="4">
        <f t="shared" si="3"/>
        <v>4347.3854166666642</v>
      </c>
      <c r="AE26" s="4">
        <f t="shared" si="3"/>
        <v>4671.1770833333358</v>
      </c>
      <c r="AF26" s="4">
        <f t="shared" si="3"/>
        <v>4994.96875</v>
      </c>
      <c r="AG26" s="4">
        <f t="shared" si="3"/>
        <v>5318.760416666657</v>
      </c>
      <c r="AH26" s="4">
        <f t="shared" si="3"/>
        <v>5642.5520833333358</v>
      </c>
      <c r="AI26" s="4">
        <f t="shared" si="3"/>
        <v>5966.3437500000073</v>
      </c>
      <c r="AJ26" s="4">
        <f t="shared" si="3"/>
        <v>6290.1354166666642</v>
      </c>
      <c r="AK26" s="4">
        <f t="shared" si="3"/>
        <v>6613.9270833333358</v>
      </c>
      <c r="AL26" s="4">
        <f t="shared" si="3"/>
        <v>5070.9687499999927</v>
      </c>
      <c r="AM26" s="4">
        <f t="shared" si="3"/>
        <v>5394.7604166666715</v>
      </c>
      <c r="AN26" s="4">
        <f t="shared" si="3"/>
        <v>5718.5520833333358</v>
      </c>
      <c r="AO26" s="4">
        <f t="shared" si="3"/>
        <v>6042.3437500000073</v>
      </c>
      <c r="AP26" s="4">
        <f t="shared" si="3"/>
        <v>6366.1354166666642</v>
      </c>
      <c r="AQ26" s="4">
        <f t="shared" si="3"/>
        <v>6689.9270833333358</v>
      </c>
      <c r="AR26" s="4">
        <f t="shared" si="3"/>
        <v>7013.7187499999927</v>
      </c>
      <c r="AS26" s="4">
        <f t="shared" si="3"/>
        <v>7337.5104166666642</v>
      </c>
      <c r="AT26" s="4">
        <f t="shared" si="3"/>
        <v>7661.3020833333503</v>
      </c>
      <c r="AU26" s="4">
        <f t="shared" si="3"/>
        <v>7985.0937500000073</v>
      </c>
      <c r="AV26" s="4">
        <f t="shared" si="3"/>
        <v>8308.8854166666642</v>
      </c>
      <c r="AW26" s="4">
        <f t="shared" si="3"/>
        <v>8632.677083333343</v>
      </c>
    </row>
    <row r="27" spans="1:51" hidden="1" x14ac:dyDescent="0.45">
      <c r="A27" s="1" t="s">
        <v>16</v>
      </c>
      <c r="B27" s="4">
        <f>B26</f>
        <v>-3425.3125</v>
      </c>
      <c r="C27" s="4">
        <f>C26+B27</f>
        <v>-6582.7083333333358</v>
      </c>
      <c r="D27" s="4">
        <f>D26+C27</f>
        <v>-9472.1875000000036</v>
      </c>
      <c r="E27" s="4">
        <f>E26+D27</f>
        <v>-12093.750000000004</v>
      </c>
      <c r="F27" s="4">
        <f>F26+E27</f>
        <v>-14447.395833333339</v>
      </c>
      <c r="G27" s="4">
        <f>G26+F27</f>
        <v>-16533.125000000007</v>
      </c>
      <c r="H27" s="4">
        <f t="shared" ref="H27:AW27" si="4">H26+G27</f>
        <v>-18278.020833333343</v>
      </c>
      <c r="I27" s="4">
        <f t="shared" si="4"/>
        <v>-19682.083333333343</v>
      </c>
      <c r="J27" s="4">
        <f t="shared" si="4"/>
        <v>-20745.312500000011</v>
      </c>
      <c r="K27" s="4">
        <f t="shared" si="4"/>
        <v>-21467.708333333347</v>
      </c>
      <c r="L27" s="4">
        <f t="shared" si="4"/>
        <v>-21849.270833333347</v>
      </c>
      <c r="M27" s="4">
        <f t="shared" si="4"/>
        <v>-21890.000000000015</v>
      </c>
      <c r="N27" s="4">
        <f t="shared" si="4"/>
        <v>-22804.83333333335</v>
      </c>
      <c r="O27" s="4">
        <f t="shared" si="4"/>
        <v>-23392.229166666686</v>
      </c>
      <c r="P27" s="4">
        <f t="shared" si="4"/>
        <v>-23652.187500000022</v>
      </c>
      <c r="Q27" s="4">
        <f t="shared" si="4"/>
        <v>-23584.708333333358</v>
      </c>
      <c r="R27" s="4">
        <f t="shared" si="4"/>
        <v>-23189.791666666693</v>
      </c>
      <c r="S27" s="4">
        <f t="shared" si="4"/>
        <v>-22467.437500000022</v>
      </c>
      <c r="T27" s="4">
        <f t="shared" si="4"/>
        <v>-21421.291666666686</v>
      </c>
      <c r="U27" s="4">
        <f t="shared" si="4"/>
        <v>-20051.354166666679</v>
      </c>
      <c r="V27" s="4">
        <f t="shared" si="4"/>
        <v>-18357.625000000015</v>
      </c>
      <c r="W27" s="4">
        <f t="shared" si="4"/>
        <v>-16340.104166666686</v>
      </c>
      <c r="X27" s="4">
        <f t="shared" si="4"/>
        <v>-13998.791666666686</v>
      </c>
      <c r="Y27" s="4">
        <f t="shared" si="4"/>
        <v>-11333.687500000022</v>
      </c>
      <c r="Z27" s="4">
        <f t="shared" si="4"/>
        <v>-8281.4687500000218</v>
      </c>
      <c r="AA27" s="4">
        <f t="shared" si="4"/>
        <v>-4905.4583333333503</v>
      </c>
      <c r="AB27" s="4">
        <f t="shared" si="4"/>
        <v>-1205.6562500000146</v>
      </c>
      <c r="AC27" s="4">
        <f t="shared" si="4"/>
        <v>2817.9374999999854</v>
      </c>
      <c r="AD27" s="4">
        <f t="shared" si="4"/>
        <v>7165.3229166666497</v>
      </c>
      <c r="AE27" s="4">
        <f t="shared" si="4"/>
        <v>11836.499999999985</v>
      </c>
      <c r="AF27" s="4">
        <f t="shared" si="4"/>
        <v>16831.468749999985</v>
      </c>
      <c r="AG27" s="4">
        <f t="shared" si="4"/>
        <v>22150.229166666642</v>
      </c>
      <c r="AH27" s="4">
        <f t="shared" si="4"/>
        <v>27792.781249999978</v>
      </c>
      <c r="AI27" s="4">
        <f t="shared" si="4"/>
        <v>33759.124999999985</v>
      </c>
      <c r="AJ27" s="4">
        <f t="shared" si="4"/>
        <v>40049.26041666665</v>
      </c>
      <c r="AK27" s="4">
        <f>AK26+AJ27</f>
        <v>46663.187499999985</v>
      </c>
      <c r="AL27" s="4">
        <f t="shared" si="4"/>
        <v>51734.156249999978</v>
      </c>
      <c r="AM27" s="4">
        <f t="shared" si="4"/>
        <v>57128.91666666665</v>
      </c>
      <c r="AN27" s="4">
        <f t="shared" si="4"/>
        <v>62847.468749999985</v>
      </c>
      <c r="AO27" s="4">
        <f t="shared" si="4"/>
        <v>68889.8125</v>
      </c>
      <c r="AP27" s="4">
        <f t="shared" si="4"/>
        <v>75255.947916666657</v>
      </c>
      <c r="AQ27" s="4">
        <f t="shared" si="4"/>
        <v>81945.875</v>
      </c>
      <c r="AR27" s="4">
        <f t="shared" si="4"/>
        <v>88959.59375</v>
      </c>
      <c r="AS27" s="4">
        <f t="shared" si="4"/>
        <v>96297.104166666657</v>
      </c>
      <c r="AT27" s="4">
        <f t="shared" si="4"/>
        <v>103958.40625</v>
      </c>
      <c r="AU27" s="4">
        <f t="shared" si="4"/>
        <v>111943.5</v>
      </c>
      <c r="AV27" s="4">
        <f t="shared" si="4"/>
        <v>120252.38541666666</v>
      </c>
      <c r="AW27" s="4">
        <f t="shared" si="4"/>
        <v>128885.0625</v>
      </c>
    </row>
    <row r="28" spans="1:51" hidden="1" x14ac:dyDescent="0.4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51" hidden="1" x14ac:dyDescent="0.45">
      <c r="A29" s="7" t="s">
        <v>12</v>
      </c>
      <c r="B29" s="8">
        <v>1</v>
      </c>
      <c r="C29" s="8">
        <v>2</v>
      </c>
      <c r="D29" s="8">
        <v>3</v>
      </c>
      <c r="E29" s="8">
        <v>4</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51" hidden="1" x14ac:dyDescent="0.45">
      <c r="H30" s="4"/>
    </row>
    <row r="31" spans="1:51" hidden="1" x14ac:dyDescent="0.45">
      <c r="B31" s="4"/>
      <c r="C31" s="4"/>
      <c r="D31" s="4"/>
      <c r="E31" s="4"/>
      <c r="G31" s="20" t="s">
        <v>63</v>
      </c>
      <c r="H31" s="18">
        <f>IRR(B26:AW26)</f>
        <v>6.4022609503445738E-2</v>
      </c>
    </row>
    <row r="32" spans="1:51" hidden="1" x14ac:dyDescent="0.45">
      <c r="A32" s="9"/>
      <c r="B32" s="4"/>
      <c r="C32" s="4"/>
      <c r="D32" s="4"/>
      <c r="E32" s="4"/>
      <c r="G32" s="4"/>
      <c r="H32" s="4"/>
    </row>
    <row r="33" spans="1:8" hidden="1" x14ac:dyDescent="0.45">
      <c r="A33" s="10" t="s">
        <v>69</v>
      </c>
      <c r="B33" s="4">
        <f>SUM(B10:M10)</f>
        <v>240000</v>
      </c>
      <c r="C33" s="4">
        <f>SUM(N10:Y10)</f>
        <v>240000</v>
      </c>
      <c r="D33" s="4">
        <f>SUM(Z10:AK10)</f>
        <v>240000</v>
      </c>
      <c r="E33" s="4">
        <f>SUM(AL10:AW10)</f>
        <v>240000</v>
      </c>
      <c r="G33" s="4"/>
      <c r="H33" s="4"/>
    </row>
    <row r="34" spans="1:8" hidden="1" x14ac:dyDescent="0.45">
      <c r="A34" s="10" t="s">
        <v>70</v>
      </c>
      <c r="B34" s="4">
        <f>SUM(B11:M11)</f>
        <v>10400</v>
      </c>
      <c r="C34" s="4">
        <f>SUM(N11:Y11)</f>
        <v>29079.999999999996</v>
      </c>
      <c r="D34" s="4">
        <f>SUM(Z11:AK11)</f>
        <v>47319.999999999985</v>
      </c>
      <c r="E34" s="4">
        <f>SUM(AL11:AW11)</f>
        <v>65560.000000000029</v>
      </c>
      <c r="G34" s="4"/>
      <c r="H34" s="4"/>
    </row>
    <row r="35" spans="1:8" hidden="1" x14ac:dyDescent="0.45">
      <c r="A35" s="10" t="s">
        <v>72</v>
      </c>
      <c r="B35" s="4">
        <f>SUM(B12:M12)</f>
        <v>9750</v>
      </c>
      <c r="C35" s="4">
        <f>SUM(N12:Y12)</f>
        <v>27262.499999999996</v>
      </c>
      <c r="D35" s="4">
        <f>SUM(Z12:AK12)</f>
        <v>44362.499999999993</v>
      </c>
      <c r="E35" s="4">
        <f>SUM(AL12:AW12)</f>
        <v>61462.5</v>
      </c>
      <c r="G35" s="4"/>
      <c r="H35" s="4"/>
    </row>
    <row r="36" spans="1:8" hidden="1" x14ac:dyDescent="0.45">
      <c r="A36" s="10" t="s">
        <v>73</v>
      </c>
      <c r="B36" s="4">
        <f>SUM(B13:M13)</f>
        <v>4375</v>
      </c>
      <c r="C36" s="4">
        <f>SUM(N13:Y13)</f>
        <v>31031.249999999996</v>
      </c>
      <c r="D36" s="4">
        <f>SUM(Z13:AK13)</f>
        <v>59687.499999999978</v>
      </c>
      <c r="E36" s="4">
        <f>SUM(AL13:AW13)</f>
        <v>88187.5</v>
      </c>
      <c r="G36" s="4"/>
      <c r="H36" s="4"/>
    </row>
    <row r="37" spans="1:8" hidden="1" x14ac:dyDescent="0.45">
      <c r="A37" s="10" t="s">
        <v>74</v>
      </c>
      <c r="B37" s="4">
        <f>SUM(B14:M14)</f>
        <v>48750</v>
      </c>
      <c r="C37" s="4">
        <f>SUM(N14:Y14)</f>
        <v>136312.5</v>
      </c>
      <c r="D37" s="4">
        <f>SUM(Z14:AK14)</f>
        <v>221812.49999999997</v>
      </c>
      <c r="E37" s="4">
        <f>SUM(AL14:AW14)</f>
        <v>307312.5</v>
      </c>
      <c r="G37" s="4"/>
      <c r="H37" s="4"/>
    </row>
    <row r="38" spans="1:8" hidden="1" x14ac:dyDescent="0.45">
      <c r="A38" s="11"/>
      <c r="B38" s="4"/>
      <c r="C38" s="4"/>
      <c r="D38" s="4"/>
      <c r="E38" s="4"/>
      <c r="G38" s="4"/>
      <c r="H38" s="4"/>
    </row>
    <row r="39" spans="1:8" hidden="1" x14ac:dyDescent="0.45">
      <c r="A39" s="10" t="s">
        <v>43</v>
      </c>
      <c r="B39" s="4">
        <f>SUM(B16:M16)</f>
        <v>156000</v>
      </c>
      <c r="C39" s="4">
        <f>SUM(N16:Y16)</f>
        <v>156000</v>
      </c>
      <c r="D39" s="4">
        <f>SUM(Z16:AK16)</f>
        <v>156000</v>
      </c>
      <c r="E39" s="4">
        <f>SUM(AL16:AW16)</f>
        <v>156000</v>
      </c>
      <c r="F39" s="138"/>
      <c r="G39" s="4"/>
      <c r="H39" s="4"/>
    </row>
    <row r="40" spans="1:8" hidden="1" x14ac:dyDescent="0.45">
      <c r="A40" s="10" t="s">
        <v>76</v>
      </c>
      <c r="B40" s="4">
        <f>SUM(B17:M17)</f>
        <v>3640</v>
      </c>
      <c r="C40" s="4">
        <f>SUM(N17:Y17)</f>
        <v>10177.999999999998</v>
      </c>
      <c r="D40" s="4">
        <f>SUM(Z17:AK17)</f>
        <v>16561.999999999989</v>
      </c>
      <c r="E40" s="4">
        <f>SUM(AL17:AW17)</f>
        <v>22946.000000000007</v>
      </c>
      <c r="F40" s="138"/>
      <c r="G40" s="4"/>
      <c r="H40" s="4"/>
    </row>
    <row r="41" spans="1:8" hidden="1" x14ac:dyDescent="0.45">
      <c r="A41" s="10" t="s">
        <v>77</v>
      </c>
      <c r="B41" s="4">
        <f>SUM(B18:M18)</f>
        <v>5362.5</v>
      </c>
      <c r="C41" s="4">
        <f>SUM(N18:Y18)</f>
        <v>14994.375</v>
      </c>
      <c r="D41" s="4">
        <f>SUM(Z18:AK18)</f>
        <v>24399.374999999996</v>
      </c>
      <c r="E41" s="4">
        <f>SUM(AL18:AW18)</f>
        <v>33804.375000000015</v>
      </c>
      <c r="F41" s="138"/>
      <c r="G41" s="4"/>
      <c r="H41" s="4"/>
    </row>
    <row r="42" spans="1:8" hidden="1" x14ac:dyDescent="0.45">
      <c r="A42" s="10" t="s">
        <v>78</v>
      </c>
      <c r="B42" s="4">
        <f>SUM(B19:M19)</f>
        <v>2843.75</v>
      </c>
      <c r="C42" s="4">
        <f>SUM(N19:Y19)</f>
        <v>20170.3125</v>
      </c>
      <c r="D42" s="4">
        <f>SUM(Z19:AK19)</f>
        <v>38796.874999999993</v>
      </c>
      <c r="E42" s="4">
        <f>SUM(AL19:AW19)</f>
        <v>57321.875</v>
      </c>
      <c r="F42" s="138"/>
      <c r="G42" s="4"/>
      <c r="H42" s="4"/>
    </row>
    <row r="43" spans="1:8" hidden="1" x14ac:dyDescent="0.45">
      <c r="A43" s="10" t="s">
        <v>79</v>
      </c>
      <c r="B43" s="4">
        <f>SUM(B20:M20)</f>
        <v>39000</v>
      </c>
      <c r="C43" s="4">
        <f>SUM(N20:Y20)</f>
        <v>109050</v>
      </c>
      <c r="D43" s="4">
        <f>SUM(Z20:AK20)</f>
        <v>177449.99999999997</v>
      </c>
      <c r="E43" s="4">
        <f>SUM(AL20:AW20)</f>
        <v>245850.00000000006</v>
      </c>
      <c r="F43" s="138"/>
      <c r="G43" s="4"/>
      <c r="H43" s="4"/>
    </row>
    <row r="44" spans="1:8" hidden="1" x14ac:dyDescent="0.45">
      <c r="A44" s="10"/>
      <c r="B44" s="4"/>
      <c r="C44" s="4"/>
      <c r="D44" s="4"/>
      <c r="E44" s="4"/>
      <c r="G44" s="4"/>
      <c r="H44" s="4"/>
    </row>
    <row r="45" spans="1:8" hidden="1" x14ac:dyDescent="0.45">
      <c r="A45" s="1" t="s">
        <v>92</v>
      </c>
      <c r="B45" s="4">
        <f t="shared" ref="B44:B46" si="5">SUM(B22:M22)</f>
        <v>78318.75</v>
      </c>
      <c r="C45" s="4">
        <f t="shared" ref="C44:C46" si="6">SUM(N22:Y22)</f>
        <v>92737.250000000015</v>
      </c>
      <c r="D45" s="4">
        <f t="shared" ref="D44:D46" si="7">SUM(Z22:AK22)</f>
        <v>91977.375</v>
      </c>
      <c r="E45" s="4">
        <f t="shared" ref="E44:E46" si="8">SUM(AL22:AW22)</f>
        <v>114378.375</v>
      </c>
      <c r="G45" s="4"/>
      <c r="H45" s="4"/>
    </row>
    <row r="46" spans="1:8" hidden="1" x14ac:dyDescent="0.45">
      <c r="A46" s="1" t="s">
        <v>14</v>
      </c>
      <c r="B46" s="4">
        <f t="shared" si="5"/>
        <v>49999.999999999993</v>
      </c>
      <c r="C46" s="4">
        <f t="shared" si="6"/>
        <v>49999.999999999993</v>
      </c>
      <c r="D46" s="4">
        <f t="shared" si="7"/>
        <v>49999.999999999993</v>
      </c>
      <c r="E46" s="4">
        <f t="shared" si="8"/>
        <v>49999.999999999993</v>
      </c>
      <c r="G46" s="4"/>
      <c r="H46" s="4"/>
    </row>
    <row r="47" spans="1:8" hidden="1" x14ac:dyDescent="0.45"/>
    <row r="48" spans="1:8" hidden="1" x14ac:dyDescent="0.45">
      <c r="B48" s="4">
        <f>SUM(B33:B37)-SUM(B39:B43)</f>
        <v>106428.75</v>
      </c>
      <c r="C48" s="4">
        <f t="shared" ref="C48:E48" si="9">SUM(C33:C37)-SUM(C39:C43)</f>
        <v>153293.5625</v>
      </c>
      <c r="D48" s="4">
        <f t="shared" si="9"/>
        <v>199974.25</v>
      </c>
      <c r="E48" s="4">
        <f t="shared" si="9"/>
        <v>246600.24999999994</v>
      </c>
    </row>
    <row r="49" spans="2:49" hidden="1" x14ac:dyDescent="0.45"/>
    <row r="50" spans="2:49" hidden="1" x14ac:dyDescent="0.45">
      <c r="B50" s="4">
        <f>B48-SUM(B45:B46)</f>
        <v>-21890</v>
      </c>
      <c r="C50" s="4">
        <f>C48-SUM(C45:C46)</f>
        <v>10556.3125</v>
      </c>
      <c r="D50" s="4">
        <f>D48-SUM(D45:D46)</f>
        <v>57996.875</v>
      </c>
      <c r="E50" s="4">
        <f>E48-SUM(E45:E46)</f>
        <v>82221.874999999942</v>
      </c>
    </row>
    <row r="52" spans="2:49" x14ac:dyDescent="0.4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2:49" x14ac:dyDescent="0.4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2:49" x14ac:dyDescent="0.45">
      <c r="B54" s="4"/>
      <c r="C54" s="4"/>
      <c r="D54" s="4"/>
      <c r="E54" s="4"/>
    </row>
    <row r="55" spans="2:49" x14ac:dyDescent="0.45">
      <c r="B55" s="4"/>
      <c r="C55" s="4"/>
      <c r="D55" s="4"/>
      <c r="E55" s="4"/>
    </row>
    <row r="58" spans="2:49" x14ac:dyDescent="0.45">
      <c r="D58" s="4"/>
      <c r="E58" s="172"/>
    </row>
  </sheetData>
  <sheetProtection algorithmName="SHA-512" hashValue="3Wc6EC+WjDELFAgpT4lgmXB47Z0r84zWYtenIRwWczzIl/IX6Dhxqg64Q054ZvZnRO7rrju5g1aAGyuRO/nu9g==" saltValue="Ow8eB9u1s7bA63MsPbruaA==" spinCount="100000" sheet="1" objects="1" scenarios="1"/>
  <mergeCells count="1">
    <mergeCell ref="B1:AW1"/>
  </mergeCells>
  <pageMargins left="0.70866141732283472" right="0.70866141732283472" top="0.74803149606299213" bottom="0.74803149606299213" header="0.31496062992125984" footer="0.31496062992125984"/>
  <pageSetup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Definitions</vt:lpstr>
      <vt:lpstr>Key Variables</vt:lpstr>
      <vt:lpstr>P&amp;L Impact</vt:lpstr>
      <vt:lpstr>Customers</vt:lpstr>
      <vt:lpstr>Cash Flow</vt:lpstr>
      <vt:lpstr>Core 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Willmer</dc:creator>
  <dc:description>© 1 ClickFactory 2014. All rights reserved.</dc:description>
  <cp:lastModifiedBy>Dana Willmer</cp:lastModifiedBy>
  <cp:lastPrinted>2011-05-31T20:13:44Z</cp:lastPrinted>
  <dcterms:created xsi:type="dcterms:W3CDTF">2010-11-09T18:01:08Z</dcterms:created>
  <dcterms:modified xsi:type="dcterms:W3CDTF">2017-07-28T20:29:04Z</dcterms:modified>
</cp:coreProperties>
</file>